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12090" windowHeight="3015" activeTab="1"/>
  </bookViews>
  <sheets>
    <sheet name="Table of Contents" sheetId="32" r:id="rId1"/>
    <sheet name="Town  Energy (C&amp;I and RES)" sheetId="44" r:id="rId2"/>
    <sheet name="RES Kerosene" sheetId="52" r:id="rId3"/>
    <sheet name="RES Method and References" sheetId="34" r:id="rId4"/>
    <sheet name="Residential Summary" sheetId="35" r:id="rId5"/>
    <sheet name="Residential Detailed" sheetId="36" r:id="rId6"/>
    <sheet name="RES Calculations &amp; References " sheetId="37" r:id="rId7"/>
    <sheet name="C&amp;I Method and References" sheetId="25" r:id="rId8"/>
    <sheet name="C&amp;I Building Summary" sheetId="1" r:id="rId9"/>
    <sheet name="C&amp;I Building Type &amp; End Use" sheetId="2" r:id="rId10"/>
    <sheet name="C&amp;I Calculations and References" sheetId="33" r:id="rId11"/>
    <sheet name="C&amp;I Chittenden" sheetId="41" r:id="rId12"/>
    <sheet name="Energy Economic Report Values" sheetId="51" r:id="rId13"/>
    <sheet name="Residential Summary 2" sheetId="43" r:id="rId14"/>
    <sheet name="Chittenden County Town Employee" sheetId="42" r:id="rId15"/>
    <sheet name="Town Electric (C&amp;I and RES)" sheetId="45" r:id="rId16"/>
    <sheet name="2005 Usage and Savings" sheetId="46" r:id="rId17"/>
    <sheet name="2006 Usage and Savings" sheetId="47" r:id="rId18"/>
    <sheet name="2007 Usage and Savings" sheetId="48" r:id="rId19"/>
    <sheet name="2008 Usage and Savings" sheetId="49" r:id="rId20"/>
    <sheet name="2009 Usage and Savings" sheetId="5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adj1">[1]Participants!#REF!</definedName>
    <definedName name="_adj2">[1]Participants!#REF!</definedName>
    <definedName name="_adj3">[1]Participants!#REF!</definedName>
    <definedName name="_ENC1980">#REF!</definedName>
    <definedName name="_ENC1981">#REF!</definedName>
    <definedName name="_ENC1982">#REF!</definedName>
    <definedName name="_ENC1983">#REF!</definedName>
    <definedName name="_ENC1984">#REF!</definedName>
    <definedName name="_ENC1985">#REF!</definedName>
    <definedName name="_ENC1986">#REF!</definedName>
    <definedName name="_ENC1987">#REF!</definedName>
    <definedName name="_ENC1988">#REF!</definedName>
    <definedName name="_ENC1989">#REF!</definedName>
    <definedName name="_ENC1990">#REF!</definedName>
    <definedName name="_ENC1991">#REF!</definedName>
    <definedName name="_ENC1992">#REF!</definedName>
    <definedName name="_ENC1993">#REF!</definedName>
    <definedName name="_ENC1994">#REF!</definedName>
    <definedName name="_ENC1995">#REF!</definedName>
    <definedName name="_ENC1996">#REF!</definedName>
    <definedName name="_ENC1997">#REF!</definedName>
    <definedName name="_ENC1998">#REF!</definedName>
    <definedName name="_ENC1999">#REF!</definedName>
    <definedName name="_ENC2000">#REF!</definedName>
    <definedName name="_ENC2001">#REF!</definedName>
    <definedName name="_ENC2002">#REF!</definedName>
    <definedName name="_ENC2003">#REF!</definedName>
    <definedName name="_ENC2004">#REF!</definedName>
    <definedName name="_ENC2005">#REF!</definedName>
    <definedName name="_ENC2006">#REF!</definedName>
    <definedName name="_ENC2007">#REF!</definedName>
    <definedName name="_ENC2008">#REF!</definedName>
    <definedName name="_ENC2009">#REF!</definedName>
    <definedName name="_ENC2010">#REF!</definedName>
    <definedName name="_ENC2011">#REF!</definedName>
    <definedName name="_ENC2012">#REF!</definedName>
    <definedName name="_ENC2013">#REF!</definedName>
    <definedName name="_ENC2014">#REF!</definedName>
    <definedName name="_ENC2015">#REF!</definedName>
    <definedName name="_ENC2016">#REF!</definedName>
    <definedName name="_ENC2017">#REF!</definedName>
    <definedName name="_ENC2018">#REF!</definedName>
    <definedName name="_ENC2019">#REF!</definedName>
    <definedName name="_ENC2020">#REF!</definedName>
    <definedName name="_ESC1980">#REF!</definedName>
    <definedName name="_ESC1981">#REF!</definedName>
    <definedName name="_ESC1982">#REF!</definedName>
    <definedName name="_ESC1983">#REF!</definedName>
    <definedName name="_ESC1984">#REF!</definedName>
    <definedName name="_ESC1985">#REF!</definedName>
    <definedName name="_ESC1986">#REF!</definedName>
    <definedName name="_ESC1987">#REF!</definedName>
    <definedName name="_ESC1988">#REF!</definedName>
    <definedName name="_ESC1989">#REF!</definedName>
    <definedName name="_ESC1990">#REF!</definedName>
    <definedName name="_ESC1991">#REF!</definedName>
    <definedName name="_ESC1992">#REF!</definedName>
    <definedName name="_ESC1993">#REF!</definedName>
    <definedName name="_ESC1994">#REF!</definedName>
    <definedName name="_ESC1995">#REF!</definedName>
    <definedName name="_ESC1996">#REF!</definedName>
    <definedName name="_ESC1997">#REF!</definedName>
    <definedName name="_ESC1998">#REF!</definedName>
    <definedName name="_ESC1999">#REF!</definedName>
    <definedName name="_ESC2000">#REF!</definedName>
    <definedName name="_ESC2001">#REF!</definedName>
    <definedName name="_ESC2002">#REF!</definedName>
    <definedName name="_ESC2003">#REF!</definedName>
    <definedName name="_ESC2004">#REF!</definedName>
    <definedName name="_ESC2005">#REF!</definedName>
    <definedName name="_ESC2006">#REF!</definedName>
    <definedName name="_ESC2007">#REF!</definedName>
    <definedName name="_ESC2008">#REF!</definedName>
    <definedName name="_ESC2009">#REF!</definedName>
    <definedName name="_ESC2010">#REF!</definedName>
    <definedName name="_ESC2011">#REF!</definedName>
    <definedName name="_ESC2012">#REF!</definedName>
    <definedName name="_ESC2013">#REF!</definedName>
    <definedName name="_ESC2014">#REF!</definedName>
    <definedName name="_ESC2015">#REF!</definedName>
    <definedName name="_ESC2016">#REF!</definedName>
    <definedName name="_ESC2017">#REF!</definedName>
    <definedName name="_ESC2018">#REF!</definedName>
    <definedName name="_ESC2019">#REF!</definedName>
    <definedName name="_ESC2020">#REF!</definedName>
    <definedName name="_xlnm._FilterDatabase" localSheetId="16" hidden="1">'2005 Usage and Savings'!$A$2:$I$22</definedName>
    <definedName name="_xlnm._FilterDatabase" localSheetId="17" hidden="1">'2006 Usage and Savings'!$A$2:$I$22</definedName>
    <definedName name="_xlnm._FilterDatabase" localSheetId="18" hidden="1">'2007 Usage and Savings'!$A$2:$I$22</definedName>
    <definedName name="_xlnm._FilterDatabase" localSheetId="19" hidden="1">'2008 Usage and Savings'!$A$2:$I$22</definedName>
    <definedName name="_xlnm._FilterDatabase" localSheetId="20" hidden="1">'2009 Usage and Savings'!$A$2:$K$22</definedName>
    <definedName name="_ftn1" localSheetId="12">'Energy Economic Report Values'!$C$4</definedName>
    <definedName name="_ftn2" localSheetId="12">'Energy Economic Report Values'!#REF!</definedName>
    <definedName name="_ftn3" localSheetId="12">'Energy Economic Report Values'!#REF!</definedName>
    <definedName name="_ftnref1" localSheetId="12">'Energy Economic Report Values'!$F$1</definedName>
    <definedName name="_ftnref2" localSheetId="12">'Energy Economic Report Values'!#REF!</definedName>
    <definedName name="_ftnref3" localSheetId="12">'Energy Economic Report Values'!#REF!</definedName>
    <definedName name="_MNT1980">#REF!</definedName>
    <definedName name="_MNT1981">#REF!</definedName>
    <definedName name="_MNT1982">#REF!</definedName>
    <definedName name="_MNT1983">#REF!</definedName>
    <definedName name="_MNT1984">#REF!</definedName>
    <definedName name="_MNT1985">#REF!</definedName>
    <definedName name="_MNT1986">#REF!</definedName>
    <definedName name="_MNT1987">#REF!</definedName>
    <definedName name="_MNT1988">#REF!</definedName>
    <definedName name="_MNT1989">#REF!</definedName>
    <definedName name="_MNT1990">#REF!</definedName>
    <definedName name="_MNT1991">#REF!</definedName>
    <definedName name="_MNT1992">#REF!</definedName>
    <definedName name="_MNT1993">#REF!</definedName>
    <definedName name="_MNT1994">#REF!</definedName>
    <definedName name="_MNT1995">#REF!</definedName>
    <definedName name="_MNT1996">#REF!</definedName>
    <definedName name="_MNT1997">#REF!</definedName>
    <definedName name="_MNT1998">#REF!</definedName>
    <definedName name="_MNT1999">#REF!</definedName>
    <definedName name="_MNT2000">#REF!</definedName>
    <definedName name="_MNT2001">#REF!</definedName>
    <definedName name="_MNT2002">#REF!</definedName>
    <definedName name="_MNT2003">#REF!</definedName>
    <definedName name="_MNT2004">#REF!</definedName>
    <definedName name="_MNT2005">#REF!</definedName>
    <definedName name="_MNT2006">#REF!</definedName>
    <definedName name="_MNT2007">#REF!</definedName>
    <definedName name="_MNT2008">#REF!</definedName>
    <definedName name="_MNT2009">#REF!</definedName>
    <definedName name="_MNT2010">#REF!</definedName>
    <definedName name="_MNT2011">#REF!</definedName>
    <definedName name="_MNT2012">#REF!</definedName>
    <definedName name="_MNT2013">#REF!</definedName>
    <definedName name="_MNT2014">#REF!</definedName>
    <definedName name="_MNT2015">#REF!</definedName>
    <definedName name="_MNT2016">#REF!</definedName>
    <definedName name="_MNT2017">#REF!</definedName>
    <definedName name="_MNT2018">#REF!</definedName>
    <definedName name="_MNT2019">#REF!</definedName>
    <definedName name="_MNT2020">#REF!</definedName>
    <definedName name="_PAC1980">#REF!</definedName>
    <definedName name="_PAC1981">#REF!</definedName>
    <definedName name="_PAC1982">#REF!</definedName>
    <definedName name="_PAC1983">#REF!</definedName>
    <definedName name="_PAC1984">#REF!</definedName>
    <definedName name="_PAC1985">#REF!</definedName>
    <definedName name="_PAC1986">#REF!</definedName>
    <definedName name="_PAC1987">#REF!</definedName>
    <definedName name="_PAC1988">#REF!</definedName>
    <definedName name="_PAC1989">#REF!</definedName>
    <definedName name="_PAC1990">#REF!</definedName>
    <definedName name="_PAC1991">#REF!</definedName>
    <definedName name="_PAC1992">#REF!</definedName>
    <definedName name="_PAC1993">#REF!</definedName>
    <definedName name="_PAC1994">#REF!</definedName>
    <definedName name="_PAC1995">#REF!</definedName>
    <definedName name="_PAC1996">#REF!</definedName>
    <definedName name="_PAC1997">#REF!</definedName>
    <definedName name="_PAC1998">#REF!</definedName>
    <definedName name="_PAC1999">#REF!</definedName>
    <definedName name="_PAC2000">#REF!</definedName>
    <definedName name="_PAC2001">#REF!</definedName>
    <definedName name="_PAC2002">#REF!</definedName>
    <definedName name="_PAC2003">#REF!</definedName>
    <definedName name="_PAC2004">#REF!</definedName>
    <definedName name="_PAC2005">#REF!</definedName>
    <definedName name="_PAC2006">#REF!</definedName>
    <definedName name="_PAC2007">#REF!</definedName>
    <definedName name="_PAC2008">#REF!</definedName>
    <definedName name="_PAC2009">#REF!</definedName>
    <definedName name="_PAC2010">#REF!</definedName>
    <definedName name="_PAC2011">#REF!</definedName>
    <definedName name="_PAC2012">#REF!</definedName>
    <definedName name="_PAC2013">#REF!</definedName>
    <definedName name="_PAC2014">#REF!</definedName>
    <definedName name="_PAC2015">#REF!</definedName>
    <definedName name="_PAC2016">#REF!</definedName>
    <definedName name="_PAC2017">#REF!</definedName>
    <definedName name="_PAC2018">#REF!</definedName>
    <definedName name="_PAC2019">#REF!</definedName>
    <definedName name="_PAC2020">#REF!</definedName>
    <definedName name="_RDR1">#REF!</definedName>
    <definedName name="_RDR2">#REF!</definedName>
    <definedName name="_WNC1980">#REF!</definedName>
    <definedName name="_WNC1981">#REF!</definedName>
    <definedName name="_WNC1982">#REF!</definedName>
    <definedName name="_WNC1983">#REF!</definedName>
    <definedName name="_WNC1984">#REF!</definedName>
    <definedName name="_WNC1985">#REF!</definedName>
    <definedName name="_WNC1986">#REF!</definedName>
    <definedName name="_WNC1987">#REF!</definedName>
    <definedName name="_WNC1988">#REF!</definedName>
    <definedName name="_WNC1989">#REF!</definedName>
    <definedName name="_WNC1990">#REF!</definedName>
    <definedName name="_WNC1991">#REF!</definedName>
    <definedName name="_WNC1992">#REF!</definedName>
    <definedName name="_WNC1993">#REF!</definedName>
    <definedName name="_WNC1994">#REF!</definedName>
    <definedName name="_WNC1995">#REF!</definedName>
    <definedName name="_WNC1996">#REF!</definedName>
    <definedName name="_WNC1997">#REF!</definedName>
    <definedName name="_WNC1998">#REF!</definedName>
    <definedName name="_WNC1999">#REF!</definedName>
    <definedName name="_WNC2000">#REF!</definedName>
    <definedName name="_WNC2001">#REF!</definedName>
    <definedName name="_WNC2002">#REF!</definedName>
    <definedName name="_WNC2003">#REF!</definedName>
    <definedName name="_WNC2004">#REF!</definedName>
    <definedName name="_WNC2005">#REF!</definedName>
    <definedName name="_WNC2006">#REF!</definedName>
    <definedName name="_WNC2007">#REF!</definedName>
    <definedName name="_WNC2008">#REF!</definedName>
    <definedName name="_WNC2009">#REF!</definedName>
    <definedName name="_WNC2010">#REF!</definedName>
    <definedName name="_WNC2011">#REF!</definedName>
    <definedName name="_WNC2012">#REF!</definedName>
    <definedName name="_WNC2013">#REF!</definedName>
    <definedName name="_WNC2014">#REF!</definedName>
    <definedName name="_WNC2015">#REF!</definedName>
    <definedName name="_WNC2016">#REF!</definedName>
    <definedName name="_WNC2017">#REF!</definedName>
    <definedName name="_WNC2018">#REF!</definedName>
    <definedName name="_WNC2019">#REF!</definedName>
    <definedName name="_WNC2020">#REF!</definedName>
    <definedName name="_WSC1980">#REF!</definedName>
    <definedName name="_WSC1981">#REF!</definedName>
    <definedName name="_WSC1982">#REF!</definedName>
    <definedName name="_WSC1983">#REF!</definedName>
    <definedName name="_WSC1984">#REF!</definedName>
    <definedName name="_WSC1985">#REF!</definedName>
    <definedName name="_WSC1986">#REF!</definedName>
    <definedName name="_WSC1987">#REF!</definedName>
    <definedName name="_WSC1988">#REF!</definedName>
    <definedName name="_WSC1989">#REF!</definedName>
    <definedName name="_WSC1990">#REF!</definedName>
    <definedName name="_WSC1991">#REF!</definedName>
    <definedName name="_WSC1992">#REF!</definedName>
    <definedName name="_WSC1993">#REF!</definedName>
    <definedName name="_WSC1994">#REF!</definedName>
    <definedName name="_WSC1995">#REF!</definedName>
    <definedName name="_WSC1996">#REF!</definedName>
    <definedName name="_WSC1997">#REF!</definedName>
    <definedName name="_WSC1998">#REF!</definedName>
    <definedName name="_WSC1999">#REF!</definedName>
    <definedName name="_WSC2000">#REF!</definedName>
    <definedName name="_WSC2001">#REF!</definedName>
    <definedName name="_WSC2002">#REF!</definedName>
    <definedName name="_WSC2003">#REF!</definedName>
    <definedName name="_WSC2004">#REF!</definedName>
    <definedName name="_WSC2005">#REF!</definedName>
    <definedName name="_WSC2006">#REF!</definedName>
    <definedName name="_WSC2007">#REF!</definedName>
    <definedName name="_WSC2008">#REF!</definedName>
    <definedName name="_WSC2009">#REF!</definedName>
    <definedName name="_WSC2010">#REF!</definedName>
    <definedName name="_WSC2011">#REF!</definedName>
    <definedName name="_WSC2012">#REF!</definedName>
    <definedName name="_WSC2013">#REF!</definedName>
    <definedName name="_WSC2014">#REF!</definedName>
    <definedName name="_WSC2015">#REF!</definedName>
    <definedName name="_WSC2016">#REF!</definedName>
    <definedName name="_WSC2017">#REF!</definedName>
    <definedName name="_WSC2018">#REF!</definedName>
    <definedName name="_WSC2019">#REF!</definedName>
    <definedName name="_WSC2020">#REF!</definedName>
    <definedName name="AnnCool1980">[2]AnnualIndices!$C$2:$C$2</definedName>
    <definedName name="AnnCool1981">[2]AnnualIndices!$C$3:$C$3</definedName>
    <definedName name="AnnCool1982">[2]AnnualIndices!$C$4:$C$4</definedName>
    <definedName name="AnnCool1983">[2]AnnualIndices!$C$5:$C$5</definedName>
    <definedName name="AnnCool1984">[2]AnnualIndices!$C$6:$C$6</definedName>
    <definedName name="AnnCool1985">[2]AnnualIndices!$C$7:$C$7</definedName>
    <definedName name="AnnCool1986">[2]AnnualIndices!#REF!</definedName>
    <definedName name="AnnCool1987">[2]AnnualIndices!#REF!</definedName>
    <definedName name="AnnCool1988">[2]AnnualIndices!#REF!</definedName>
    <definedName name="AnnCool1989">[2]AnnualIndices!#REF!</definedName>
    <definedName name="AnnCool1990">[2]AnnualIndices!#REF!</definedName>
    <definedName name="AnnCool1991">[2]AnnualIndices!#REF!</definedName>
    <definedName name="AnnCool1992">[2]AnnualIndices!#REF!</definedName>
    <definedName name="AnnCool1993">[2]AnnualIndices!#REF!</definedName>
    <definedName name="AnnCool1994">[2]AnnualIndices!#REF!</definedName>
    <definedName name="AnnCool1995">[2]AnnualIndices!#REF!</definedName>
    <definedName name="AnnCool1996">[2]AnnualIndices!#REF!</definedName>
    <definedName name="AnnCool1997">[2]AnnualIndices!#REF!</definedName>
    <definedName name="AnnCool1998">[2]AnnualIndices!$C$8:$C$8</definedName>
    <definedName name="AnnCool1999">[2]AnnualIndices!$C$9:$C$9</definedName>
    <definedName name="AnnCool2000">[2]AnnualIndices!$C$10:$C$10</definedName>
    <definedName name="AnnCool2001">[2]AnnualIndices!$C$11:$C$11</definedName>
    <definedName name="AnnCool2002">[2]AnnualIndices!$C$12:$C$12</definedName>
    <definedName name="AnnCool2003">[2]AnnualIndices!$C$13:$C$13</definedName>
    <definedName name="AnnCool2004">[2]AnnualIndices!$C$14:$C$14</definedName>
    <definedName name="AnnCool2005">[2]AnnualIndices!$C$15:$C$15</definedName>
    <definedName name="AnnCool2006">[2]AnnualIndices!$C$16:$C$16</definedName>
    <definedName name="AnnCool2007">[2]AnnualIndices!$C$17:$C$17</definedName>
    <definedName name="AnnCool2008">[2]AnnualIndices!$C$18:$C$18</definedName>
    <definedName name="AnnCool2009">[2]AnnualIndices!$C$19:$C$19</definedName>
    <definedName name="AnnCool2010">[2]AnnualIndices!$C$20:$C$20</definedName>
    <definedName name="AnnCool2011">[2]AnnualIndices!$C$21:$C$21</definedName>
    <definedName name="AnnCool2012">[2]AnnualIndices!$C$22:$C$22</definedName>
    <definedName name="AnnCool2013">[2]AnnualIndices!$C$23:$C$23</definedName>
    <definedName name="AnnCool2014">[2]AnnualIndices!$C$24:$C$24</definedName>
    <definedName name="AnnCool2015">[2]AnnualIndices!$C$25:$C$25</definedName>
    <definedName name="AnnCool2016">[2]AnnualIndices!$C$26:$C$26</definedName>
    <definedName name="AnnCool2017">[2]AnnualIndices!$C$27:$C$27</definedName>
    <definedName name="AnnCool2018">[2]AnnualIndices!$C$28:$C$28</definedName>
    <definedName name="AnnCool2019">[2]AnnualIndices!$C$29:$C$29</definedName>
    <definedName name="AnnCool2020">[2]AnnualIndices!$C$30:$C$30</definedName>
    <definedName name="AnnCool2021">[2]AnnualIndices!$C$31</definedName>
    <definedName name="AnnCool2022">[2]AnnualIndices!$C$32</definedName>
    <definedName name="AnnCool2023">[2]AnnualIndices!$C$33</definedName>
    <definedName name="AnnCool2024">[2]AnnualIndices!$C$34</definedName>
    <definedName name="AnnCool2025">[2]AnnualIndices!$C$35</definedName>
    <definedName name="AnnHeat1980">[2]AnnualIndices!$B$2:$B$2</definedName>
    <definedName name="AnnHeat1981">[2]AnnualIndices!$B$3:$B$3</definedName>
    <definedName name="AnnHeat1982">[2]AnnualIndices!$B$4:$B$4</definedName>
    <definedName name="AnnHeat1983">[2]AnnualIndices!$B$5:$B$5</definedName>
    <definedName name="AnnHeat1984">[2]AnnualIndices!$B$6:$B$6</definedName>
    <definedName name="AnnHeat1985">[2]AnnualIndices!$B$7:$B$7</definedName>
    <definedName name="AnnHeat1986">[2]AnnualIndices!#REF!</definedName>
    <definedName name="AnnHeat1987">[2]AnnualIndices!#REF!</definedName>
    <definedName name="AnnHeat1988">[2]AnnualIndices!#REF!</definedName>
    <definedName name="AnnHeat1989">[2]AnnualIndices!#REF!</definedName>
    <definedName name="AnnHeat1990">[2]AnnualIndices!#REF!</definedName>
    <definedName name="AnnHeat1991">[2]AnnualIndices!#REF!</definedName>
    <definedName name="AnnHeat1992">[2]AnnualIndices!#REF!</definedName>
    <definedName name="AnnHeat1993">[2]AnnualIndices!#REF!</definedName>
    <definedName name="AnnHeat1994">[2]AnnualIndices!#REF!</definedName>
    <definedName name="AnnHeat1995">[2]AnnualIndices!#REF!</definedName>
    <definedName name="AnnHeat1996">[2]AnnualIndices!#REF!</definedName>
    <definedName name="AnnHeat1997">[2]AnnualIndices!#REF!</definedName>
    <definedName name="AnnHeat1998">[2]AnnualIndices!$B$8:$B$8</definedName>
    <definedName name="AnnHeat1999">[2]AnnualIndices!$B$9:$B$9</definedName>
    <definedName name="AnnHeat2000">[2]AnnualIndices!$B$10:$B$10</definedName>
    <definedName name="AnnHeat2001">[2]AnnualIndices!$B$11:$B$11</definedName>
    <definedName name="AnnHeat2002">[2]AnnualIndices!$B$12:$B$12</definedName>
    <definedName name="AnnHeat2003">[2]AnnualIndices!$B$13:$B$13</definedName>
    <definedName name="AnnHeat2004">[2]AnnualIndices!$B$14:$B$14</definedName>
    <definedName name="AnnHeat2005">[2]AnnualIndices!$B$15:$B$15</definedName>
    <definedName name="AnnHeat2006">[2]AnnualIndices!$B$16:$B$16</definedName>
    <definedName name="AnnHeat2007">[2]AnnualIndices!$B$17:$B$17</definedName>
    <definedName name="AnnHeat2008">[2]AnnualIndices!$B$18:$B$18</definedName>
    <definedName name="AnnHeat2009">[2]AnnualIndices!$B$19:$B$19</definedName>
    <definedName name="AnnHeat2010">[2]AnnualIndices!$B$20:$B$20</definedName>
    <definedName name="AnnHeat2011">[2]AnnualIndices!$B$21:$B$21</definedName>
    <definedName name="AnnHeat2012">[2]AnnualIndices!$B$22:$B$22</definedName>
    <definedName name="AnnHeat2013">[2]AnnualIndices!$B$23:$B$23</definedName>
    <definedName name="AnnHeat2014">[2]AnnualIndices!$B$24:$B$24</definedName>
    <definedName name="AnnHeat2015">[2]AnnualIndices!$B$25:$B$25</definedName>
    <definedName name="AnnHeat2016">[2]AnnualIndices!$B$26:$B$26</definedName>
    <definedName name="AnnHeat2017">[2]AnnualIndices!$B$27:$B$27</definedName>
    <definedName name="AnnHeat2018">[2]AnnualIndices!$B$28:$B$28</definedName>
    <definedName name="AnnHeat2019">[2]AnnualIndices!$B$29:$B$29</definedName>
    <definedName name="AnnHeat2020">[2]AnnualIndices!$B$30:$B$30</definedName>
    <definedName name="AnnHeat2021">[2]AnnualIndices!$B$31</definedName>
    <definedName name="AnnHeat2022">[2]AnnualIndices!$B$32</definedName>
    <definedName name="AnnHeat2023">[2]AnnualIndices!$B$33</definedName>
    <definedName name="AnnHeat2024">[2]AnnualIndices!$B$34</definedName>
    <definedName name="AnnHeat2025">[2]AnnualIndices!$B$35</definedName>
    <definedName name="Cnfg_Contrib1">'[3]Yr 1 Inputs'!$E$28</definedName>
    <definedName name="Cnfg_Contrib2">'[3]Yr 1 Inputs'!$F$28</definedName>
    <definedName name="Cnfg_Contrib3">'[3]Yr 1 Inputs'!$G$28</definedName>
    <definedName name="Cnfg_PrgmAbbreviation">'[4]Screening Info'!$F$24</definedName>
    <definedName name="Cnfg_ProgramLabel">'[5]Screening Info'!$F$23</definedName>
    <definedName name="Cnfg_WaterUnits">[6]Overview!Cnfg_WaterUnits</definedName>
    <definedName name="Cost">#REF!</definedName>
    <definedName name="CostCenters">#REF!</definedName>
    <definedName name="CostsYr">[6]!CostsYr</definedName>
    <definedName name="Currency">'[3]Yr 1 Inputs'!$F$18</definedName>
    <definedName name="Data">#REF!</definedName>
    <definedName name="Data2003">#REF!</definedName>
    <definedName name="DataJLC">'[7]Data Entry'!$C$10:$AB$152</definedName>
    <definedName name="detailbud">#REF!</definedName>
    <definedName name="DiscRate">#REF!</definedName>
    <definedName name="elec_mt">[8]Participation!$G$29</definedName>
    <definedName name="ElectricSales_NENG">[2]UtilityData!$A$1:$C$251</definedName>
    <definedName name="EndUse_kW_kWh">#REF!</definedName>
    <definedName name="EndUses">'[9]PST set-up'!$C$17:$C$25</definedName>
    <definedName name="EPCI">#REF!</definedName>
    <definedName name="EPRES">#REF!</definedName>
    <definedName name="ErrorCheck">#REF!</definedName>
    <definedName name="ExpenseType">#REF!</definedName>
    <definedName name="FirstYr">[6]!FirstYr</definedName>
    <definedName name="FossilUnits">'[3]Yr 1 Inputs'!$L$14</definedName>
    <definedName name="Functions">#REF!</definedName>
    <definedName name="IncCostPercent">'[10]Yr 1 Inputs'!$I$1</definedName>
    <definedName name="InflationRate">[10]Setup!$B$14</definedName>
    <definedName name="inputs">#REF!</definedName>
    <definedName name="LISF">'[11]Defined Tables'!$P$4:$P$25</definedName>
    <definedName name="Lkup_EndUse">[6]Overview!Lkup_EndUse</definedName>
    <definedName name="Lkup_FuelType">[6]Overview!Lkup_FuelType</definedName>
    <definedName name="Lkup_LoadShape">[6]!LoadShapes</definedName>
    <definedName name="Lkup_ProgramType">'[12]Program Data'!$E$3:$E$10</definedName>
    <definedName name="Lkup_Sector">'[12]Avoided Costs'!$A$5:$A$9</definedName>
    <definedName name="Location">#REF!</definedName>
    <definedName name="MATL1980">#REF!</definedName>
    <definedName name="MATL1981">#REF!</definedName>
    <definedName name="MATL1982">#REF!</definedName>
    <definedName name="MATL1983">#REF!</definedName>
    <definedName name="MATL1984">#REF!</definedName>
    <definedName name="MATL1985">#REF!</definedName>
    <definedName name="MATL1986">#REF!</definedName>
    <definedName name="MATL1987">#REF!</definedName>
    <definedName name="MATL1988">#REF!</definedName>
    <definedName name="MATL1989">#REF!</definedName>
    <definedName name="MATL1990">#REF!</definedName>
    <definedName name="MATL1991">#REF!</definedName>
    <definedName name="MATL1992">#REF!</definedName>
    <definedName name="MATL1993">#REF!</definedName>
    <definedName name="MATL1994">#REF!</definedName>
    <definedName name="MATL1995">#REF!</definedName>
    <definedName name="MATL1996">#REF!</definedName>
    <definedName name="MATL1997">#REF!</definedName>
    <definedName name="MATL1998">#REF!</definedName>
    <definedName name="MATL1999">#REF!</definedName>
    <definedName name="MATL2000">#REF!</definedName>
    <definedName name="MATL2001">#REF!</definedName>
    <definedName name="MATL2002">#REF!</definedName>
    <definedName name="MATL2003">#REF!</definedName>
    <definedName name="MATL2004">#REF!</definedName>
    <definedName name="MATL2005">#REF!</definedName>
    <definedName name="MATL2006">#REF!</definedName>
    <definedName name="MATL2007">#REF!</definedName>
    <definedName name="MATL2008">#REF!</definedName>
    <definedName name="MATL2009">#REF!</definedName>
    <definedName name="MATL2010">#REF!</definedName>
    <definedName name="MATL2011">#REF!</definedName>
    <definedName name="MATL2012">#REF!</definedName>
    <definedName name="MATL2013">#REF!</definedName>
    <definedName name="MATL2014">#REF!</definedName>
    <definedName name="MATL2015">#REF!</definedName>
    <definedName name="MATL2016">#REF!</definedName>
    <definedName name="MATL2017">#REF!</definedName>
    <definedName name="MATL2018">#REF!</definedName>
    <definedName name="MATL2019">#REF!</definedName>
    <definedName name="MATL2020">#REF!</definedName>
    <definedName name="mktg">'[11]Defined Tables'!$P$4:$P$25</definedName>
    <definedName name="MonMult1">[2]MonthlyMults!$C$2:$M$2</definedName>
    <definedName name="MonMult10">[2]MonthlyMults!$C$11:$M$11</definedName>
    <definedName name="MonMult11">[2]MonthlyMults!$C$12:$M$12</definedName>
    <definedName name="MonMult12">[2]MonthlyMults!$C$13:$M$13</definedName>
    <definedName name="MonMult2">[2]MonthlyMults!$C$3:$M$3</definedName>
    <definedName name="MonMult3">[2]MonthlyMults!$C$4:$M$4</definedName>
    <definedName name="MonMult4">[2]MonthlyMults!$C$5:$M$5</definedName>
    <definedName name="MonMult5">[2]MonthlyMults!$C$6:$M$6</definedName>
    <definedName name="MonMult6">[2]MonthlyMults!$C$7:$M$7</definedName>
    <definedName name="MonMult7">[2]MonthlyMults!$C$8:$M$8</definedName>
    <definedName name="MonMult8">[2]MonthlyMults!$C$9:$M$9</definedName>
    <definedName name="MonMult9">[2]MonthlyMults!$C$10:$M$10</definedName>
    <definedName name="NENG1986">[13]ShareUEC!#REF!</definedName>
    <definedName name="NENG1987">[13]ShareUEC!#REF!</definedName>
    <definedName name="NENG1988">[13]ShareUEC!#REF!</definedName>
    <definedName name="NENG1989">[13]ShareUEC!#REF!</definedName>
    <definedName name="NENG1990">[13]ShareUEC!#REF!</definedName>
    <definedName name="NENG1991">[13]ShareUEC!#REF!</definedName>
    <definedName name="NENG1992">[13]ShareUEC!#REF!</definedName>
    <definedName name="NENG1993">[13]ShareUEC!#REF!</definedName>
    <definedName name="NENG1994">[13]ShareUEC!#REF!</definedName>
    <definedName name="NENG1995">[13]ShareUEC!#REF!</definedName>
    <definedName name="NENG1996">[13]ShareUEC!#REF!</definedName>
    <definedName name="NENG1997">[13]ShareUEC!#REF!</definedName>
    <definedName name="new">'[14]Defined Tables'!$P$4:$P$25</definedName>
    <definedName name="newLISF">'[11]Defined Tables'!$R$4:$R$6</definedName>
    <definedName name="newsalary">'[1]Defined Tables'!$N$4:$N$50</definedName>
    <definedName name="newuniy">'[11]Defined Tables'!$R$4:$R$6</definedName>
    <definedName name="newveiv">'[11]Defined Tables'!$T$4:$T$35</definedName>
    <definedName name="newVoF">'[14]Defined Tables'!$L$4:$L$10</definedName>
    <definedName name="newVorFCosts">'[1]Defined Tables'!$L$4:$L$10</definedName>
    <definedName name="NoYears">[15]Contents!$J$3</definedName>
    <definedName name="Organizations">#REF!</definedName>
    <definedName name="P">"P"</definedName>
    <definedName name="PACE">'Table of Contents'!$B$20</definedName>
    <definedName name="print">#REF!</definedName>
    <definedName name="prn_detailbud">#REF!</definedName>
    <definedName name="prn_inputs">#REF!</definedName>
    <definedName name="prn_sum">#REF!</definedName>
    <definedName name="prn_sumbud">#REF!</definedName>
    <definedName name="RDR">#REF!</definedName>
    <definedName name="RNC_Query">#REF!</definedName>
    <definedName name="Row_ID">#REF!</definedName>
    <definedName name="Salary">'[1]Defined Tables'!$T$4:$T$35</definedName>
    <definedName name="SATL1980">#REF!</definedName>
    <definedName name="SATL1981">#REF!</definedName>
    <definedName name="SATL1982">#REF!</definedName>
    <definedName name="SATL1983">#REF!</definedName>
    <definedName name="SATL1984">#REF!</definedName>
    <definedName name="SATL1985">#REF!</definedName>
    <definedName name="SATL1986">#REF!</definedName>
    <definedName name="SATL1987">#REF!</definedName>
    <definedName name="SATL1988">#REF!</definedName>
    <definedName name="SATL1989">#REF!</definedName>
    <definedName name="SATL1990">#REF!</definedName>
    <definedName name="SATL1991">#REF!</definedName>
    <definedName name="SATL1992">#REF!</definedName>
    <definedName name="SATL1993">#REF!</definedName>
    <definedName name="SATL1994">#REF!</definedName>
    <definedName name="SATL1995">#REF!</definedName>
    <definedName name="SATL1996">#REF!</definedName>
    <definedName name="SATL1997">#REF!</definedName>
    <definedName name="SATL1998">#REF!</definedName>
    <definedName name="SATL1999">#REF!</definedName>
    <definedName name="SATL2000">#REF!</definedName>
    <definedName name="SATL2001">#REF!</definedName>
    <definedName name="SATL2002">#REF!</definedName>
    <definedName name="SATL2003">#REF!</definedName>
    <definedName name="SATL2004">#REF!</definedName>
    <definedName name="SATL2005">#REF!</definedName>
    <definedName name="SATL2006">#REF!</definedName>
    <definedName name="SATL2007">#REF!</definedName>
    <definedName name="SATL2008">#REF!</definedName>
    <definedName name="SATL2009">#REF!</definedName>
    <definedName name="SATL2010">#REF!</definedName>
    <definedName name="SATL2011">#REF!</definedName>
    <definedName name="SATL2012">#REF!</definedName>
    <definedName name="SATL2013">#REF!</definedName>
    <definedName name="SATL2014">#REF!</definedName>
    <definedName name="SATL2015">#REF!</definedName>
    <definedName name="SATL2016">#REF!</definedName>
    <definedName name="SATL2017">#REF!</definedName>
    <definedName name="SATL2018">#REF!</definedName>
    <definedName name="SATL2019">#REF!</definedName>
    <definedName name="SATL2020">#REF!</definedName>
    <definedName name="sheet_data">#REF!</definedName>
    <definedName name="spill">[1]Participants!#REF!</definedName>
    <definedName name="spill2">[1]Participants!#REF!</definedName>
    <definedName name="spill3">[1]Participants!#REF!</definedName>
    <definedName name="sum">#REF!</definedName>
    <definedName name="sumbud">#REF!</definedName>
    <definedName name="tblLoadShape">[16]tblLoadShape!$A$1:$N$75</definedName>
    <definedName name="tblMFGeneralTechnology">[17]tblMFGeneralTechnology!$A$1:$S$277</definedName>
    <definedName name="TESt">'[7]Defined Tables'!#REF!</definedName>
    <definedName name="UnitofMeasure">#REF!</definedName>
    <definedName name="VEIC_Staff">#REF!</definedName>
    <definedName name="VEICSalaries">#REF!</definedName>
    <definedName name="VEICStaff">#REF!</definedName>
    <definedName name="VorFCosts">#REF!</definedName>
    <definedName name="Year">#REF!</definedName>
    <definedName name="YearOne">[15]Contents!$J$2</definedName>
  </definedNames>
  <calcPr calcId="145621"/>
</workbook>
</file>

<file path=xl/calcChain.xml><?xml version="1.0" encoding="utf-8"?>
<calcChain xmlns="http://schemas.openxmlformats.org/spreadsheetml/2006/main">
  <c r="F57" i="44" l="1"/>
  <c r="E57" i="44"/>
  <c r="R64" i="44"/>
  <c r="R65" i="44"/>
  <c r="R66" i="44"/>
  <c r="R67" i="44"/>
  <c r="R68" i="44"/>
  <c r="R69" i="44"/>
  <c r="R70" i="44"/>
  <c r="R71" i="44"/>
  <c r="R72" i="44"/>
  <c r="R73" i="44"/>
  <c r="R74" i="44"/>
  <c r="R75" i="44"/>
  <c r="R76" i="44"/>
  <c r="R77" i="44"/>
  <c r="R78" i="44"/>
  <c r="R79" i="44"/>
  <c r="R80" i="44"/>
  <c r="R81" i="44"/>
  <c r="R82" i="44"/>
  <c r="R63" i="44"/>
  <c r="O63" i="44"/>
  <c r="P63" i="44"/>
  <c r="Q63" i="44"/>
  <c r="O64" i="44"/>
  <c r="P64" i="44"/>
  <c r="Q64" i="44"/>
  <c r="O65" i="44"/>
  <c r="P65" i="44"/>
  <c r="Q65" i="44"/>
  <c r="O66" i="44"/>
  <c r="P66" i="44"/>
  <c r="Q66" i="44"/>
  <c r="O67" i="44"/>
  <c r="P67" i="44"/>
  <c r="Q67" i="44"/>
  <c r="O68" i="44"/>
  <c r="P68" i="44"/>
  <c r="Q68" i="44"/>
  <c r="O69" i="44"/>
  <c r="P69" i="44"/>
  <c r="Q69" i="44"/>
  <c r="O70" i="44"/>
  <c r="P70" i="44"/>
  <c r="Q70" i="44"/>
  <c r="O71" i="44"/>
  <c r="P71" i="44"/>
  <c r="Q71" i="44"/>
  <c r="O72" i="44"/>
  <c r="P72" i="44"/>
  <c r="Q72" i="44"/>
  <c r="O73" i="44"/>
  <c r="P73" i="44"/>
  <c r="Q73" i="44"/>
  <c r="O74" i="44"/>
  <c r="P74" i="44"/>
  <c r="Q74" i="44"/>
  <c r="O75" i="44"/>
  <c r="P75" i="44"/>
  <c r="Q75" i="44"/>
  <c r="O76" i="44"/>
  <c r="P76" i="44"/>
  <c r="Q76" i="44"/>
  <c r="O77" i="44"/>
  <c r="P77" i="44"/>
  <c r="Q77" i="44"/>
  <c r="O78" i="44"/>
  <c r="P78" i="44"/>
  <c r="Q78" i="44"/>
  <c r="O79" i="44"/>
  <c r="P79" i="44"/>
  <c r="Q79" i="44"/>
  <c r="O80" i="44"/>
  <c r="P80" i="44"/>
  <c r="Q80" i="44"/>
  <c r="O81" i="44"/>
  <c r="P81" i="44"/>
  <c r="Q81" i="44"/>
  <c r="O82" i="44"/>
  <c r="P82" i="44"/>
  <c r="Q82" i="44"/>
  <c r="N63" i="44"/>
  <c r="N64" i="44"/>
  <c r="N65" i="44"/>
  <c r="N66" i="44"/>
  <c r="N67" i="44"/>
  <c r="N68" i="44"/>
  <c r="N69" i="44"/>
  <c r="N70" i="44"/>
  <c r="N71" i="44"/>
  <c r="N72" i="44"/>
  <c r="N73" i="44"/>
  <c r="N74" i="44"/>
  <c r="N75" i="44"/>
  <c r="N76" i="44"/>
  <c r="N77" i="44"/>
  <c r="N78" i="44"/>
  <c r="N79" i="44"/>
  <c r="N80" i="44"/>
  <c r="N81" i="44"/>
  <c r="N82" i="44"/>
  <c r="M63" i="44"/>
  <c r="M64" i="44"/>
  <c r="M65" i="44"/>
  <c r="M66" i="44"/>
  <c r="M67" i="44"/>
  <c r="M68" i="44"/>
  <c r="M69" i="44"/>
  <c r="M70" i="44"/>
  <c r="M71" i="44"/>
  <c r="M72" i="44"/>
  <c r="M73" i="44"/>
  <c r="M74" i="44"/>
  <c r="M75" i="44"/>
  <c r="M76" i="44"/>
  <c r="M77" i="44"/>
  <c r="M78" i="44"/>
  <c r="M79" i="44"/>
  <c r="M80" i="44"/>
  <c r="M81" i="44"/>
  <c r="M82" i="44"/>
  <c r="L64" i="44"/>
  <c r="L65" i="44"/>
  <c r="L66" i="44"/>
  <c r="L67" i="44"/>
  <c r="L68" i="44"/>
  <c r="L69" i="44"/>
  <c r="L70" i="44"/>
  <c r="L71" i="44"/>
  <c r="L72" i="44"/>
  <c r="L73" i="44"/>
  <c r="L74" i="44"/>
  <c r="L75" i="44"/>
  <c r="L76" i="44"/>
  <c r="L77" i="44"/>
  <c r="L78" i="44"/>
  <c r="L79" i="44"/>
  <c r="L80" i="44"/>
  <c r="L81" i="44"/>
  <c r="L82" i="44"/>
  <c r="L63" i="44"/>
  <c r="G45" i="44" l="1"/>
  <c r="G46" i="44"/>
  <c r="G47" i="44"/>
  <c r="G48" i="44"/>
  <c r="G49" i="44"/>
  <c r="G50" i="44"/>
  <c r="G51" i="44"/>
  <c r="G52" i="44"/>
  <c r="G53" i="44"/>
  <c r="G54" i="44"/>
  <c r="G55" i="44"/>
  <c r="G56" i="44"/>
  <c r="G39" i="44"/>
  <c r="G40" i="44"/>
  <c r="G41" i="44"/>
  <c r="G42" i="44"/>
  <c r="G43" i="44"/>
  <c r="G44" i="44"/>
  <c r="G38" i="44"/>
  <c r="P38" i="44"/>
  <c r="Q38" i="44"/>
  <c r="P40" i="44"/>
  <c r="Q40" i="44"/>
  <c r="P41" i="44"/>
  <c r="Q41" i="44"/>
  <c r="P42" i="44"/>
  <c r="Q42" i="44"/>
  <c r="P43" i="44"/>
  <c r="Q43" i="44"/>
  <c r="P45" i="44"/>
  <c r="Q45" i="44"/>
  <c r="P46" i="44"/>
  <c r="Q46" i="44"/>
  <c r="P47" i="44"/>
  <c r="Q47" i="44"/>
  <c r="P48" i="44"/>
  <c r="Q48" i="44"/>
  <c r="P49" i="44"/>
  <c r="Q49" i="44"/>
  <c r="P50" i="44"/>
  <c r="Q50" i="44"/>
  <c r="P51" i="44"/>
  <c r="Q51" i="44"/>
  <c r="P52" i="44"/>
  <c r="Q52" i="44"/>
  <c r="P53" i="44"/>
  <c r="Q53" i="44"/>
  <c r="P54" i="44"/>
  <c r="Q54" i="44"/>
  <c r="P55" i="44"/>
  <c r="Q55" i="44"/>
  <c r="P56" i="44"/>
  <c r="Q56" i="44"/>
  <c r="P57" i="44"/>
  <c r="Q57" i="44"/>
  <c r="O40" i="44"/>
  <c r="O41" i="44"/>
  <c r="O42" i="44"/>
  <c r="O43" i="44"/>
  <c r="O45" i="44"/>
  <c r="O46" i="44"/>
  <c r="O47" i="44"/>
  <c r="O48" i="44"/>
  <c r="O49" i="44"/>
  <c r="O50" i="44"/>
  <c r="O51" i="44"/>
  <c r="O52" i="44"/>
  <c r="O53" i="44"/>
  <c r="O54" i="44"/>
  <c r="O55" i="44"/>
  <c r="O56" i="44"/>
  <c r="O57" i="44"/>
  <c r="O38" i="44"/>
  <c r="N40" i="44"/>
  <c r="N41" i="44"/>
  <c r="N42" i="44"/>
  <c r="N43" i="44"/>
  <c r="N45" i="44"/>
  <c r="N46" i="44"/>
  <c r="N47" i="44"/>
  <c r="N48" i="44"/>
  <c r="N49" i="44"/>
  <c r="N50" i="44"/>
  <c r="N51" i="44"/>
  <c r="N52" i="44"/>
  <c r="N53" i="44"/>
  <c r="N54" i="44"/>
  <c r="N55" i="44"/>
  <c r="N56" i="44"/>
  <c r="N57" i="44"/>
  <c r="N38" i="44"/>
  <c r="L57" i="44"/>
  <c r="L52" i="44"/>
  <c r="L53" i="44"/>
  <c r="L54" i="44"/>
  <c r="L55" i="44"/>
  <c r="L56" i="44"/>
  <c r="L41" i="44"/>
  <c r="L42" i="44"/>
  <c r="L43" i="44"/>
  <c r="L45" i="44"/>
  <c r="L46" i="44"/>
  <c r="L47" i="44"/>
  <c r="L48" i="44"/>
  <c r="L49" i="44"/>
  <c r="L50" i="44"/>
  <c r="L51" i="44"/>
  <c r="L40" i="44"/>
  <c r="L38" i="44"/>
  <c r="G57" i="44"/>
  <c r="G71" i="44"/>
  <c r="G72" i="44"/>
  <c r="G73" i="44"/>
  <c r="G74" i="44"/>
  <c r="G75" i="44"/>
  <c r="G76" i="44"/>
  <c r="G77" i="44"/>
  <c r="G78" i="44"/>
  <c r="G79" i="44"/>
  <c r="G80" i="44"/>
  <c r="G81" i="44"/>
  <c r="G82" i="44"/>
  <c r="G70" i="44"/>
  <c r="G29" i="44"/>
  <c r="G4" i="44" s="1"/>
  <c r="G64" i="44"/>
  <c r="G65" i="44"/>
  <c r="G66" i="44"/>
  <c r="G67" i="44"/>
  <c r="G68" i="44"/>
  <c r="G63" i="44"/>
  <c r="H32" i="52"/>
  <c r="H31" i="52"/>
  <c r="H30" i="52"/>
  <c r="H29" i="52"/>
  <c r="H28" i="52"/>
  <c r="H27" i="52"/>
  <c r="H26" i="52"/>
  <c r="H25" i="52"/>
  <c r="H24" i="52"/>
  <c r="H23" i="52"/>
  <c r="H22" i="52"/>
  <c r="H21" i="52"/>
  <c r="H20" i="52"/>
  <c r="H19" i="52"/>
  <c r="H18" i="52"/>
  <c r="H17" i="52"/>
  <c r="D17" i="52"/>
  <c r="D18" i="52" s="1"/>
  <c r="C17" i="52"/>
  <c r="C19" i="52" s="1"/>
  <c r="H16" i="52"/>
  <c r="I16" i="52" s="1"/>
  <c r="J16" i="52" s="1"/>
  <c r="H15" i="52"/>
  <c r="I15" i="52" s="1"/>
  <c r="J15" i="52" l="1"/>
  <c r="I17" i="52"/>
  <c r="J17" i="52" s="1"/>
  <c r="I18" i="52"/>
  <c r="J18" i="52" s="1"/>
  <c r="I19" i="52"/>
  <c r="J19" i="52" s="1"/>
  <c r="I20" i="52"/>
  <c r="J20" i="52" s="1"/>
  <c r="I21" i="52"/>
  <c r="J21" i="52" s="1"/>
  <c r="I22" i="52"/>
  <c r="J22" i="52" s="1"/>
  <c r="I23" i="52"/>
  <c r="J23" i="52" s="1"/>
  <c r="I24" i="52"/>
  <c r="J24" i="52" s="1"/>
  <c r="I25" i="52"/>
  <c r="J25" i="52" s="1"/>
  <c r="I26" i="52"/>
  <c r="J26" i="52" s="1"/>
  <c r="I27" i="52"/>
  <c r="J27" i="52" s="1"/>
  <c r="I28" i="52"/>
  <c r="J28" i="52" s="1"/>
  <c r="I29" i="52"/>
  <c r="J29" i="52" s="1"/>
  <c r="I30" i="52"/>
  <c r="J30" i="52" s="1"/>
  <c r="I31" i="52"/>
  <c r="J31" i="52" s="1"/>
  <c r="I32" i="52"/>
  <c r="J32" i="52" s="1"/>
  <c r="I33" i="52" l="1"/>
  <c r="J33" i="52" s="1"/>
  <c r="G25" i="51" l="1"/>
  <c r="G23" i="51"/>
  <c r="G22" i="51"/>
  <c r="F25" i="51"/>
  <c r="G21" i="51"/>
  <c r="D12" i="45"/>
  <c r="E12" i="45"/>
  <c r="F12" i="45"/>
  <c r="G12" i="45"/>
  <c r="H12" i="45"/>
  <c r="I12" i="45"/>
  <c r="J12" i="45"/>
  <c r="K12" i="45"/>
  <c r="L12" i="45"/>
  <c r="M12" i="45"/>
  <c r="N12" i="45"/>
  <c r="O12" i="45"/>
  <c r="P12" i="45"/>
  <c r="Q12" i="45"/>
  <c r="R12" i="45"/>
  <c r="S12" i="45"/>
  <c r="T12" i="45"/>
  <c r="U12" i="45"/>
  <c r="V12" i="45"/>
  <c r="M7" i="50"/>
  <c r="N7" i="50"/>
  <c r="K7" i="49"/>
  <c r="L7" i="49"/>
  <c r="K7" i="48"/>
  <c r="L7" i="48"/>
  <c r="L7" i="47"/>
  <c r="K7" i="47"/>
  <c r="L7" i="46"/>
  <c r="K7" i="46"/>
  <c r="C12" i="45"/>
  <c r="C54" i="33"/>
  <c r="C53" i="33"/>
  <c r="F8" i="51"/>
  <c r="F10" i="51"/>
  <c r="K68" i="44" l="1"/>
  <c r="J68" i="44"/>
  <c r="I68" i="44"/>
  <c r="H68" i="44"/>
  <c r="F68" i="44"/>
  <c r="E68" i="44"/>
  <c r="D68" i="44"/>
  <c r="D39" i="44" l="1"/>
  <c r="D44" i="44"/>
  <c r="D38" i="44"/>
  <c r="V39" i="44"/>
  <c r="H39" i="44" s="1"/>
  <c r="V40" i="44"/>
  <c r="H40" i="44" s="1"/>
  <c r="V41" i="44"/>
  <c r="H41" i="44" s="1"/>
  <c r="V42" i="44"/>
  <c r="H42" i="44" s="1"/>
  <c r="V44" i="44"/>
  <c r="V43" i="44" s="1"/>
  <c r="H43" i="44" s="1"/>
  <c r="V45" i="44"/>
  <c r="H45" i="44" s="1"/>
  <c r="V46" i="44"/>
  <c r="H46" i="44" s="1"/>
  <c r="V47" i="44"/>
  <c r="H47" i="44" s="1"/>
  <c r="V48" i="44"/>
  <c r="H48" i="44" s="1"/>
  <c r="V49" i="44"/>
  <c r="H49" i="44" s="1"/>
  <c r="V50" i="44"/>
  <c r="H50" i="44" s="1"/>
  <c r="V51" i="44"/>
  <c r="H51" i="44" s="1"/>
  <c r="V52" i="44"/>
  <c r="H52" i="44" s="1"/>
  <c r="V53" i="44"/>
  <c r="H53" i="44" s="1"/>
  <c r="V54" i="44"/>
  <c r="H54" i="44" s="1"/>
  <c r="V55" i="44"/>
  <c r="H55" i="44" s="1"/>
  <c r="V56" i="44"/>
  <c r="H56" i="44" s="1"/>
  <c r="V38" i="44"/>
  <c r="H38" i="44" s="1"/>
  <c r="C25" i="50"/>
  <c r="B25" i="50"/>
  <c r="M21" i="50"/>
  <c r="G21" i="50"/>
  <c r="H21" i="50"/>
  <c r="I21" i="50" s="1"/>
  <c r="N21" i="50"/>
  <c r="M20" i="50"/>
  <c r="G20" i="50"/>
  <c r="H20" i="50"/>
  <c r="I20" i="50" s="1"/>
  <c r="N20" i="50"/>
  <c r="M19" i="50"/>
  <c r="G19" i="50"/>
  <c r="H19" i="50"/>
  <c r="I19" i="50" s="1"/>
  <c r="N19" i="50"/>
  <c r="M18" i="50"/>
  <c r="G18" i="50"/>
  <c r="H18" i="50"/>
  <c r="I18" i="50" s="1"/>
  <c r="N18" i="50"/>
  <c r="M17" i="50"/>
  <c r="G17" i="50"/>
  <c r="H17" i="50"/>
  <c r="I17" i="50" s="1"/>
  <c r="N17" i="50"/>
  <c r="M16" i="50"/>
  <c r="G16" i="50"/>
  <c r="H16" i="50"/>
  <c r="I16" i="50" s="1"/>
  <c r="N16" i="50"/>
  <c r="M15" i="50"/>
  <c r="G15" i="50"/>
  <c r="H15" i="50"/>
  <c r="I15" i="50" s="1"/>
  <c r="N15" i="50"/>
  <c r="M14" i="50"/>
  <c r="G14" i="50"/>
  <c r="H14" i="50"/>
  <c r="I14" i="50" s="1"/>
  <c r="N14" i="50"/>
  <c r="M13" i="50"/>
  <c r="G13" i="50"/>
  <c r="H13" i="50"/>
  <c r="I13" i="50" s="1"/>
  <c r="N13" i="50"/>
  <c r="M12" i="50"/>
  <c r="G12" i="50"/>
  <c r="H12" i="50"/>
  <c r="I12" i="50" s="1"/>
  <c r="N12" i="50"/>
  <c r="M11" i="50"/>
  <c r="G11" i="50"/>
  <c r="H11" i="50"/>
  <c r="I11" i="50" s="1"/>
  <c r="N11" i="50"/>
  <c r="M10" i="50"/>
  <c r="G10" i="50"/>
  <c r="H10" i="50"/>
  <c r="I10" i="50" s="1"/>
  <c r="N10" i="50"/>
  <c r="M9" i="50"/>
  <c r="G9" i="50"/>
  <c r="H9" i="50"/>
  <c r="I9" i="50" s="1"/>
  <c r="N9" i="50"/>
  <c r="M8" i="50"/>
  <c r="G8" i="50"/>
  <c r="H8" i="50"/>
  <c r="I8" i="50" s="1"/>
  <c r="N8" i="50"/>
  <c r="M6" i="50"/>
  <c r="G6" i="50"/>
  <c r="H6" i="50"/>
  <c r="I6" i="50" s="1"/>
  <c r="N6" i="50"/>
  <c r="N5" i="50"/>
  <c r="M5" i="50"/>
  <c r="H5" i="50"/>
  <c r="M4" i="50"/>
  <c r="G4" i="50"/>
  <c r="H4" i="50"/>
  <c r="I4" i="50" s="1"/>
  <c r="N4" i="50"/>
  <c r="M3" i="50"/>
  <c r="G3" i="50"/>
  <c r="E25" i="50"/>
  <c r="D25" i="50"/>
  <c r="E26" i="49"/>
  <c r="D26" i="49"/>
  <c r="C26" i="49"/>
  <c r="E22" i="49"/>
  <c r="D22" i="49"/>
  <c r="L21" i="49"/>
  <c r="K21" i="49"/>
  <c r="I21" i="49"/>
  <c r="H21" i="49"/>
  <c r="G21" i="49"/>
  <c r="L20" i="49"/>
  <c r="K20" i="49"/>
  <c r="I20" i="49"/>
  <c r="H20" i="49"/>
  <c r="G20" i="49"/>
  <c r="L19" i="49"/>
  <c r="K19" i="49"/>
  <c r="I19" i="49"/>
  <c r="H19" i="49"/>
  <c r="G19" i="49"/>
  <c r="L18" i="49"/>
  <c r="K18" i="49"/>
  <c r="I18" i="49"/>
  <c r="H18" i="49"/>
  <c r="G18" i="49"/>
  <c r="L17" i="49"/>
  <c r="K17" i="49"/>
  <c r="I17" i="49"/>
  <c r="H17" i="49"/>
  <c r="G17" i="49"/>
  <c r="L16" i="49"/>
  <c r="K16" i="49"/>
  <c r="I16" i="49"/>
  <c r="H16" i="49"/>
  <c r="G16" i="49"/>
  <c r="L15" i="49"/>
  <c r="K15" i="49"/>
  <c r="I15" i="49"/>
  <c r="H15" i="49"/>
  <c r="G15" i="49"/>
  <c r="L14" i="49"/>
  <c r="K14" i="49"/>
  <c r="I14" i="49"/>
  <c r="H14" i="49"/>
  <c r="G14" i="49"/>
  <c r="L13" i="49"/>
  <c r="K13" i="49"/>
  <c r="I13" i="49"/>
  <c r="H13" i="49"/>
  <c r="G13" i="49"/>
  <c r="L12" i="49"/>
  <c r="K12" i="49"/>
  <c r="I12" i="49"/>
  <c r="H12" i="49"/>
  <c r="G12" i="49"/>
  <c r="L11" i="49"/>
  <c r="K11" i="49"/>
  <c r="I11" i="49"/>
  <c r="H11" i="49"/>
  <c r="G11" i="49"/>
  <c r="L10" i="49"/>
  <c r="K10" i="49"/>
  <c r="I10" i="49"/>
  <c r="H10" i="49"/>
  <c r="G10" i="49"/>
  <c r="L9" i="49"/>
  <c r="I9" i="49"/>
  <c r="H9" i="49"/>
  <c r="G9" i="49"/>
  <c r="B9" i="49"/>
  <c r="B26" i="49" s="1"/>
  <c r="L8" i="49"/>
  <c r="K8" i="49"/>
  <c r="I8" i="49"/>
  <c r="H8" i="49"/>
  <c r="G8" i="49"/>
  <c r="L6" i="49"/>
  <c r="K6" i="49"/>
  <c r="I6" i="49"/>
  <c r="H6" i="49"/>
  <c r="G6" i="49"/>
  <c r="L5" i="49"/>
  <c r="K5" i="49"/>
  <c r="I5" i="49"/>
  <c r="H5" i="49"/>
  <c r="G5" i="49"/>
  <c r="L4" i="49"/>
  <c r="K4" i="49"/>
  <c r="I4" i="49"/>
  <c r="H4" i="49"/>
  <c r="G4" i="49"/>
  <c r="L3" i="49"/>
  <c r="K3" i="49"/>
  <c r="I3" i="49"/>
  <c r="H3" i="49"/>
  <c r="G3" i="49"/>
  <c r="E25" i="48"/>
  <c r="D25" i="48"/>
  <c r="C25" i="48"/>
  <c r="B25" i="48"/>
  <c r="E22" i="48"/>
  <c r="D22" i="48"/>
  <c r="L21" i="48"/>
  <c r="K21" i="48"/>
  <c r="I21" i="48"/>
  <c r="H21" i="48"/>
  <c r="G21" i="48"/>
  <c r="L20" i="48"/>
  <c r="K20" i="48"/>
  <c r="I20" i="48"/>
  <c r="H20" i="48"/>
  <c r="G20" i="48"/>
  <c r="L19" i="48"/>
  <c r="K19" i="48"/>
  <c r="I19" i="48"/>
  <c r="H19" i="48"/>
  <c r="G19" i="48"/>
  <c r="L18" i="48"/>
  <c r="K18" i="48"/>
  <c r="I18" i="48"/>
  <c r="H18" i="48"/>
  <c r="G18" i="48"/>
  <c r="L17" i="48"/>
  <c r="K17" i="48"/>
  <c r="I17" i="48"/>
  <c r="H17" i="48"/>
  <c r="G17" i="48"/>
  <c r="L16" i="48"/>
  <c r="K16" i="48"/>
  <c r="I16" i="48"/>
  <c r="H16" i="48"/>
  <c r="G16" i="48"/>
  <c r="L15" i="48"/>
  <c r="K15" i="48"/>
  <c r="I15" i="48"/>
  <c r="H15" i="48"/>
  <c r="G15" i="48"/>
  <c r="L14" i="48"/>
  <c r="K14" i="48"/>
  <c r="I14" i="48"/>
  <c r="H14" i="48"/>
  <c r="G14" i="48"/>
  <c r="L13" i="48"/>
  <c r="K13" i="48"/>
  <c r="I13" i="48"/>
  <c r="H13" i="48"/>
  <c r="G13" i="48"/>
  <c r="L12" i="48"/>
  <c r="K12" i="48"/>
  <c r="I12" i="48"/>
  <c r="H12" i="48"/>
  <c r="G12" i="48"/>
  <c r="L11" i="48"/>
  <c r="K11" i="48"/>
  <c r="I11" i="48"/>
  <c r="H11" i="48"/>
  <c r="G11" i="48"/>
  <c r="L10" i="48"/>
  <c r="K10" i="48"/>
  <c r="I10" i="48"/>
  <c r="H10" i="48"/>
  <c r="G10" i="48"/>
  <c r="L9" i="48"/>
  <c r="K9" i="48"/>
  <c r="I9" i="48"/>
  <c r="H9" i="48"/>
  <c r="G9" i="48"/>
  <c r="L8" i="48"/>
  <c r="K8" i="48"/>
  <c r="I8" i="48"/>
  <c r="H8" i="48"/>
  <c r="G8" i="48"/>
  <c r="L6" i="48"/>
  <c r="K6" i="48"/>
  <c r="I6" i="48"/>
  <c r="H6" i="48"/>
  <c r="G6" i="48"/>
  <c r="L5" i="48"/>
  <c r="K5" i="48"/>
  <c r="I5" i="48"/>
  <c r="H5" i="48"/>
  <c r="G5" i="48"/>
  <c r="L4" i="48"/>
  <c r="K4" i="48"/>
  <c r="I4" i="48"/>
  <c r="H4" i="48"/>
  <c r="G4" i="48"/>
  <c r="L3" i="48"/>
  <c r="K3" i="48"/>
  <c r="I3" i="48"/>
  <c r="H3" i="48"/>
  <c r="G3" i="48"/>
  <c r="E24" i="47"/>
  <c r="D24" i="47"/>
  <c r="C24" i="47"/>
  <c r="B24" i="47"/>
  <c r="E22" i="47"/>
  <c r="D22" i="47"/>
  <c r="L21" i="47"/>
  <c r="K21" i="47"/>
  <c r="I21" i="47"/>
  <c r="H21" i="47"/>
  <c r="G21" i="47"/>
  <c r="L20" i="47"/>
  <c r="K20" i="47"/>
  <c r="I20" i="47"/>
  <c r="H20" i="47"/>
  <c r="G20" i="47"/>
  <c r="L19" i="47"/>
  <c r="K19" i="47"/>
  <c r="I19" i="47"/>
  <c r="H19" i="47"/>
  <c r="G19" i="47"/>
  <c r="L18" i="47"/>
  <c r="K18" i="47"/>
  <c r="I18" i="47"/>
  <c r="H18" i="47"/>
  <c r="G18" i="47"/>
  <c r="L17" i="47"/>
  <c r="K17" i="47"/>
  <c r="I17" i="47"/>
  <c r="H17" i="47"/>
  <c r="G17" i="47"/>
  <c r="L16" i="47"/>
  <c r="K16" i="47"/>
  <c r="I16" i="47"/>
  <c r="H16" i="47"/>
  <c r="G16" i="47"/>
  <c r="L15" i="47"/>
  <c r="K15" i="47"/>
  <c r="I15" i="47"/>
  <c r="H15" i="47"/>
  <c r="G15" i="47"/>
  <c r="L14" i="47"/>
  <c r="K14" i="47"/>
  <c r="I14" i="47"/>
  <c r="H14" i="47"/>
  <c r="G14" i="47"/>
  <c r="L13" i="47"/>
  <c r="K13" i="47"/>
  <c r="I13" i="47"/>
  <c r="H13" i="47"/>
  <c r="G13" i="47"/>
  <c r="L12" i="47"/>
  <c r="K12" i="47"/>
  <c r="I12" i="47"/>
  <c r="H12" i="47"/>
  <c r="G12" i="47"/>
  <c r="L11" i="47"/>
  <c r="K11" i="47"/>
  <c r="I11" i="47"/>
  <c r="H11" i="47"/>
  <c r="G11" i="47"/>
  <c r="L10" i="47"/>
  <c r="K10" i="47"/>
  <c r="I10" i="47"/>
  <c r="H10" i="47"/>
  <c r="G10" i="47"/>
  <c r="L9" i="47"/>
  <c r="K9" i="47"/>
  <c r="I9" i="47"/>
  <c r="H9" i="47"/>
  <c r="G9" i="47"/>
  <c r="L8" i="47"/>
  <c r="K8" i="47"/>
  <c r="I8" i="47"/>
  <c r="H8" i="47"/>
  <c r="G8" i="47"/>
  <c r="L6" i="47"/>
  <c r="K6" i="47"/>
  <c r="I6" i="47"/>
  <c r="H6" i="47"/>
  <c r="G6" i="47"/>
  <c r="L5" i="47"/>
  <c r="K5" i="47"/>
  <c r="I5" i="47"/>
  <c r="H5" i="47"/>
  <c r="G5" i="47"/>
  <c r="L4" i="47"/>
  <c r="K4" i="47"/>
  <c r="I4" i="47"/>
  <c r="H4" i="47"/>
  <c r="G4" i="47"/>
  <c r="L3" i="47"/>
  <c r="K3" i="47"/>
  <c r="I3" i="47"/>
  <c r="H3" i="47"/>
  <c r="G3" i="47"/>
  <c r="C26" i="46"/>
  <c r="B26" i="46"/>
  <c r="E22" i="46"/>
  <c r="D22" i="46"/>
  <c r="L21" i="46"/>
  <c r="K21" i="46"/>
  <c r="I21" i="46"/>
  <c r="H21" i="46"/>
  <c r="G21" i="46"/>
  <c r="L20" i="46"/>
  <c r="K20" i="46"/>
  <c r="I20" i="46"/>
  <c r="H20" i="46"/>
  <c r="G20" i="46"/>
  <c r="L19" i="46"/>
  <c r="K19" i="46"/>
  <c r="I19" i="46"/>
  <c r="H19" i="46"/>
  <c r="G19" i="46"/>
  <c r="L18" i="46"/>
  <c r="K18" i="46"/>
  <c r="I18" i="46"/>
  <c r="H18" i="46"/>
  <c r="G18" i="46"/>
  <c r="L17" i="46"/>
  <c r="K17" i="46"/>
  <c r="I17" i="46"/>
  <c r="H17" i="46"/>
  <c r="G17" i="46"/>
  <c r="L16" i="46"/>
  <c r="K16" i="46"/>
  <c r="I16" i="46"/>
  <c r="H16" i="46"/>
  <c r="G16" i="46"/>
  <c r="L15" i="46"/>
  <c r="K15" i="46"/>
  <c r="I15" i="46"/>
  <c r="H15" i="46"/>
  <c r="G15" i="46"/>
  <c r="L14" i="46"/>
  <c r="K14" i="46"/>
  <c r="I14" i="46"/>
  <c r="H14" i="46"/>
  <c r="G14" i="46"/>
  <c r="L13" i="46"/>
  <c r="K13" i="46"/>
  <c r="I13" i="46"/>
  <c r="H13" i="46"/>
  <c r="G13" i="46"/>
  <c r="L12" i="46"/>
  <c r="K12" i="46"/>
  <c r="I12" i="46"/>
  <c r="H12" i="46"/>
  <c r="G12" i="46"/>
  <c r="L11" i="46"/>
  <c r="K11" i="46"/>
  <c r="I11" i="46"/>
  <c r="H11" i="46"/>
  <c r="G11" i="46"/>
  <c r="L10" i="46"/>
  <c r="K10" i="46"/>
  <c r="I10" i="46"/>
  <c r="H10" i="46"/>
  <c r="G10" i="46"/>
  <c r="L9" i="46"/>
  <c r="K9" i="46"/>
  <c r="I9" i="46"/>
  <c r="H9" i="46"/>
  <c r="G9" i="46"/>
  <c r="L8" i="46"/>
  <c r="K8" i="46"/>
  <c r="I8" i="46"/>
  <c r="H8" i="46"/>
  <c r="G8" i="46"/>
  <c r="L6" i="46"/>
  <c r="K6" i="46"/>
  <c r="I6" i="46"/>
  <c r="H6" i="46"/>
  <c r="G6" i="46"/>
  <c r="L5" i="46"/>
  <c r="K5" i="46"/>
  <c r="I5" i="46"/>
  <c r="H5" i="46"/>
  <c r="G5" i="46"/>
  <c r="L4" i="46"/>
  <c r="K4" i="46"/>
  <c r="I4" i="46"/>
  <c r="H4" i="46"/>
  <c r="G4" i="46"/>
  <c r="L3" i="46"/>
  <c r="K3" i="46"/>
  <c r="I3" i="46"/>
  <c r="H3" i="46"/>
  <c r="G3" i="46"/>
  <c r="V52" i="45"/>
  <c r="U52" i="45"/>
  <c r="T52" i="45"/>
  <c r="S52" i="45"/>
  <c r="R52" i="45"/>
  <c r="Q52" i="45"/>
  <c r="P52" i="45"/>
  <c r="O52" i="45"/>
  <c r="N52" i="45"/>
  <c r="M52" i="45"/>
  <c r="G52" i="45"/>
  <c r="L52" i="45" s="1"/>
  <c r="F52" i="45"/>
  <c r="K52" i="45" s="1"/>
  <c r="E52" i="45"/>
  <c r="J52" i="45" s="1"/>
  <c r="D52" i="45"/>
  <c r="I52" i="45" s="1"/>
  <c r="C52" i="45"/>
  <c r="H52" i="45" s="1"/>
  <c r="B52" i="45"/>
  <c r="V51" i="45"/>
  <c r="U51" i="45"/>
  <c r="T51" i="45"/>
  <c r="S51" i="45"/>
  <c r="R51" i="45"/>
  <c r="Q51" i="45"/>
  <c r="P51" i="45"/>
  <c r="O51" i="45"/>
  <c r="N51" i="45"/>
  <c r="M51" i="45"/>
  <c r="G51" i="45"/>
  <c r="L51" i="45" s="1"/>
  <c r="F51" i="45"/>
  <c r="K51" i="45" s="1"/>
  <c r="E51" i="45"/>
  <c r="J51" i="45" s="1"/>
  <c r="D51" i="45"/>
  <c r="I51" i="45" s="1"/>
  <c r="C51" i="45"/>
  <c r="H51" i="45" s="1"/>
  <c r="B51" i="45"/>
  <c r="V50" i="45"/>
  <c r="U50" i="45"/>
  <c r="T50" i="45"/>
  <c r="S50" i="45"/>
  <c r="R50" i="45"/>
  <c r="Q50" i="45"/>
  <c r="P50" i="45"/>
  <c r="O50" i="45"/>
  <c r="N50" i="45"/>
  <c r="M50" i="45"/>
  <c r="G50" i="45"/>
  <c r="L50" i="45" s="1"/>
  <c r="F50" i="45"/>
  <c r="K50" i="45" s="1"/>
  <c r="E50" i="45"/>
  <c r="J50" i="45" s="1"/>
  <c r="D50" i="45"/>
  <c r="I50" i="45" s="1"/>
  <c r="C50" i="45"/>
  <c r="H50" i="45" s="1"/>
  <c r="B50" i="45"/>
  <c r="V49" i="45"/>
  <c r="U49" i="45"/>
  <c r="T49" i="45"/>
  <c r="S49" i="45"/>
  <c r="R49" i="45"/>
  <c r="Q49" i="45"/>
  <c r="P49" i="45"/>
  <c r="O49" i="45"/>
  <c r="N49" i="45"/>
  <c r="M49" i="45"/>
  <c r="G49" i="45"/>
  <c r="L49" i="45" s="1"/>
  <c r="F49" i="45"/>
  <c r="K49" i="45" s="1"/>
  <c r="E49" i="45"/>
  <c r="J49" i="45" s="1"/>
  <c r="D49" i="45"/>
  <c r="I49" i="45" s="1"/>
  <c r="C49" i="45"/>
  <c r="H49" i="45" s="1"/>
  <c r="B49" i="45"/>
  <c r="V48" i="45"/>
  <c r="U48" i="45"/>
  <c r="T48" i="45"/>
  <c r="S48" i="45"/>
  <c r="R48" i="45"/>
  <c r="Q48" i="45"/>
  <c r="P48" i="45"/>
  <c r="O48" i="45"/>
  <c r="N48" i="45"/>
  <c r="M48" i="45"/>
  <c r="G48" i="45"/>
  <c r="L48" i="45" s="1"/>
  <c r="F48" i="45"/>
  <c r="K48" i="45" s="1"/>
  <c r="E48" i="45"/>
  <c r="J48" i="45" s="1"/>
  <c r="D48" i="45"/>
  <c r="I48" i="45" s="1"/>
  <c r="C48" i="45"/>
  <c r="H48" i="45" s="1"/>
  <c r="B48" i="45"/>
  <c r="V47" i="45"/>
  <c r="U47" i="45"/>
  <c r="T47" i="45"/>
  <c r="S47" i="45"/>
  <c r="R47" i="45"/>
  <c r="Q47" i="45"/>
  <c r="P47" i="45"/>
  <c r="O47" i="45"/>
  <c r="N47" i="45"/>
  <c r="M47" i="45"/>
  <c r="G47" i="45"/>
  <c r="L47" i="45" s="1"/>
  <c r="F47" i="45"/>
  <c r="K47" i="45" s="1"/>
  <c r="E47" i="45"/>
  <c r="J47" i="45" s="1"/>
  <c r="D47" i="45"/>
  <c r="I47" i="45" s="1"/>
  <c r="C47" i="45"/>
  <c r="H47" i="45" s="1"/>
  <c r="B47" i="45"/>
  <c r="V46" i="45"/>
  <c r="U46" i="45"/>
  <c r="T46" i="45"/>
  <c r="S46" i="45"/>
  <c r="R46" i="45"/>
  <c r="Q46" i="45"/>
  <c r="P46" i="45"/>
  <c r="O46" i="45"/>
  <c r="N46" i="45"/>
  <c r="M46" i="45"/>
  <c r="G46" i="45"/>
  <c r="L46" i="45" s="1"/>
  <c r="F46" i="45"/>
  <c r="K46" i="45" s="1"/>
  <c r="E46" i="45"/>
  <c r="J46" i="45" s="1"/>
  <c r="D46" i="45"/>
  <c r="I46" i="45" s="1"/>
  <c r="C46" i="45"/>
  <c r="H46" i="45" s="1"/>
  <c r="B46" i="45"/>
  <c r="V45" i="45"/>
  <c r="U45" i="45"/>
  <c r="T45" i="45"/>
  <c r="S45" i="45"/>
  <c r="R45" i="45"/>
  <c r="Q45" i="45"/>
  <c r="P45" i="45"/>
  <c r="O45" i="45"/>
  <c r="N45" i="45"/>
  <c r="M45" i="45"/>
  <c r="G45" i="45"/>
  <c r="L45" i="45" s="1"/>
  <c r="F45" i="45"/>
  <c r="K45" i="45" s="1"/>
  <c r="E45" i="45"/>
  <c r="J45" i="45" s="1"/>
  <c r="D45" i="45"/>
  <c r="I45" i="45" s="1"/>
  <c r="C45" i="45"/>
  <c r="H45" i="45" s="1"/>
  <c r="B45" i="45"/>
  <c r="V44" i="45"/>
  <c r="U44" i="45"/>
  <c r="T44" i="45"/>
  <c r="S44" i="45"/>
  <c r="R44" i="45"/>
  <c r="Q44" i="45"/>
  <c r="P44" i="45"/>
  <c r="O44" i="45"/>
  <c r="N44" i="45"/>
  <c r="M44" i="45"/>
  <c r="G44" i="45"/>
  <c r="L44" i="45" s="1"/>
  <c r="F44" i="45"/>
  <c r="K44" i="45" s="1"/>
  <c r="E44" i="45"/>
  <c r="J44" i="45" s="1"/>
  <c r="D44" i="45"/>
  <c r="I44" i="45" s="1"/>
  <c r="C44" i="45"/>
  <c r="H44" i="45" s="1"/>
  <c r="B44" i="45"/>
  <c r="V43" i="45"/>
  <c r="U43" i="45"/>
  <c r="T43" i="45"/>
  <c r="S43" i="45"/>
  <c r="R43" i="45"/>
  <c r="Q43" i="45"/>
  <c r="P43" i="45"/>
  <c r="O43" i="45"/>
  <c r="N43" i="45"/>
  <c r="M43" i="45"/>
  <c r="G43" i="45"/>
  <c r="L43" i="45" s="1"/>
  <c r="F43" i="45"/>
  <c r="K43" i="45" s="1"/>
  <c r="E43" i="45"/>
  <c r="J43" i="45" s="1"/>
  <c r="D43" i="45"/>
  <c r="I43" i="45" s="1"/>
  <c r="C43" i="45"/>
  <c r="H43" i="45" s="1"/>
  <c r="B43" i="45"/>
  <c r="V42" i="45"/>
  <c r="U42" i="45"/>
  <c r="T42" i="45"/>
  <c r="S42" i="45"/>
  <c r="R42" i="45"/>
  <c r="Q42" i="45"/>
  <c r="P42" i="45"/>
  <c r="O42" i="45"/>
  <c r="N42" i="45"/>
  <c r="M42" i="45"/>
  <c r="G42" i="45"/>
  <c r="L42" i="45" s="1"/>
  <c r="F42" i="45"/>
  <c r="K42" i="45" s="1"/>
  <c r="E42" i="45"/>
  <c r="J42" i="45" s="1"/>
  <c r="D42" i="45"/>
  <c r="I42" i="45" s="1"/>
  <c r="C42" i="45"/>
  <c r="H42" i="45" s="1"/>
  <c r="B42" i="45"/>
  <c r="V41" i="45"/>
  <c r="U41" i="45"/>
  <c r="T41" i="45"/>
  <c r="S41" i="45"/>
  <c r="R41" i="45"/>
  <c r="Q41" i="45"/>
  <c r="P41" i="45"/>
  <c r="O41" i="45"/>
  <c r="N41" i="45"/>
  <c r="M41" i="45"/>
  <c r="G41" i="45"/>
  <c r="L41" i="45" s="1"/>
  <c r="F41" i="45"/>
  <c r="K41" i="45" s="1"/>
  <c r="E41" i="45"/>
  <c r="J41" i="45" s="1"/>
  <c r="D41" i="45"/>
  <c r="I41" i="45" s="1"/>
  <c r="C41" i="45"/>
  <c r="H41" i="45" s="1"/>
  <c r="B41" i="45"/>
  <c r="V40" i="45"/>
  <c r="U40" i="45"/>
  <c r="T40" i="45"/>
  <c r="S40" i="45"/>
  <c r="R40" i="45"/>
  <c r="Q40" i="45"/>
  <c r="P40" i="45"/>
  <c r="O40" i="45"/>
  <c r="N40" i="45"/>
  <c r="M40" i="45"/>
  <c r="G40" i="45"/>
  <c r="L40" i="45" s="1"/>
  <c r="F40" i="45"/>
  <c r="K40" i="45" s="1"/>
  <c r="E40" i="45"/>
  <c r="J40" i="45" s="1"/>
  <c r="D40" i="45"/>
  <c r="I40" i="45" s="1"/>
  <c r="C40" i="45"/>
  <c r="H40" i="45" s="1"/>
  <c r="B40" i="45"/>
  <c r="V39" i="45"/>
  <c r="U39" i="45"/>
  <c r="T39" i="45"/>
  <c r="S39" i="45"/>
  <c r="R39" i="45"/>
  <c r="Q39" i="45"/>
  <c r="P39" i="45"/>
  <c r="O39" i="45"/>
  <c r="N39" i="45"/>
  <c r="M39" i="45"/>
  <c r="G39" i="45"/>
  <c r="L39" i="45" s="1"/>
  <c r="F39" i="45"/>
  <c r="K39" i="45" s="1"/>
  <c r="E39" i="45"/>
  <c r="J39" i="45" s="1"/>
  <c r="D39" i="45"/>
  <c r="I39" i="45" s="1"/>
  <c r="C39" i="45"/>
  <c r="H39" i="45" s="1"/>
  <c r="B39" i="45"/>
  <c r="V37" i="45"/>
  <c r="U37" i="45"/>
  <c r="T37" i="45"/>
  <c r="S37" i="45"/>
  <c r="R37" i="45"/>
  <c r="Q37" i="45"/>
  <c r="P37" i="45"/>
  <c r="O37" i="45"/>
  <c r="N37" i="45"/>
  <c r="M37" i="45"/>
  <c r="G37" i="45"/>
  <c r="L37" i="45" s="1"/>
  <c r="F37" i="45"/>
  <c r="K37" i="45" s="1"/>
  <c r="E37" i="45"/>
  <c r="J37" i="45" s="1"/>
  <c r="D37" i="45"/>
  <c r="I37" i="45" s="1"/>
  <c r="C37" i="45"/>
  <c r="H37" i="45" s="1"/>
  <c r="B37" i="45"/>
  <c r="V36" i="45"/>
  <c r="U36" i="45"/>
  <c r="T36" i="45"/>
  <c r="S36" i="45"/>
  <c r="R36" i="45"/>
  <c r="Q36" i="45"/>
  <c r="P36" i="45"/>
  <c r="O36" i="45"/>
  <c r="N36" i="45"/>
  <c r="M36" i="45"/>
  <c r="G36" i="45"/>
  <c r="L36" i="45" s="1"/>
  <c r="F36" i="45"/>
  <c r="K36" i="45" s="1"/>
  <c r="E36" i="45"/>
  <c r="J36" i="45" s="1"/>
  <c r="D36" i="45"/>
  <c r="I36" i="45" s="1"/>
  <c r="C36" i="45"/>
  <c r="H36" i="45" s="1"/>
  <c r="B36" i="45"/>
  <c r="V35" i="45"/>
  <c r="U35" i="45"/>
  <c r="T35" i="45"/>
  <c r="S35" i="45"/>
  <c r="R35" i="45"/>
  <c r="Q35" i="45"/>
  <c r="P35" i="45"/>
  <c r="O35" i="45"/>
  <c r="N35" i="45"/>
  <c r="M35" i="45"/>
  <c r="G35" i="45"/>
  <c r="L35" i="45" s="1"/>
  <c r="F35" i="45"/>
  <c r="K35" i="45" s="1"/>
  <c r="E35" i="45"/>
  <c r="J35" i="45" s="1"/>
  <c r="D35" i="45"/>
  <c r="I35" i="45" s="1"/>
  <c r="C35" i="45"/>
  <c r="H35" i="45" s="1"/>
  <c r="B35" i="45"/>
  <c r="V34" i="45"/>
  <c r="V53" i="45" s="1"/>
  <c r="U34" i="45"/>
  <c r="U53" i="45" s="1"/>
  <c r="T34" i="45"/>
  <c r="T53" i="45" s="1"/>
  <c r="S34" i="45"/>
  <c r="S53" i="45" s="1"/>
  <c r="R34" i="45"/>
  <c r="R53" i="45" s="1"/>
  <c r="Q34" i="45"/>
  <c r="Q53" i="45" s="1"/>
  <c r="P34" i="45"/>
  <c r="P53" i="45" s="1"/>
  <c r="O34" i="45"/>
  <c r="O53" i="45" s="1"/>
  <c r="N34" i="45"/>
  <c r="N53" i="45" s="1"/>
  <c r="M34" i="45"/>
  <c r="M53" i="45" s="1"/>
  <c r="F34" i="45"/>
  <c r="F53" i="45" s="1"/>
  <c r="E34" i="45"/>
  <c r="E53" i="45" s="1"/>
  <c r="D34" i="45"/>
  <c r="D53" i="45" s="1"/>
  <c r="C34" i="45"/>
  <c r="C53" i="45" s="1"/>
  <c r="B34" i="45"/>
  <c r="V26" i="45"/>
  <c r="U26" i="45"/>
  <c r="T26" i="45"/>
  <c r="S26" i="45"/>
  <c r="R26" i="45"/>
  <c r="Q26" i="45"/>
  <c r="P26" i="45"/>
  <c r="O26" i="45"/>
  <c r="N26" i="45"/>
  <c r="M26" i="45"/>
  <c r="G26" i="45"/>
  <c r="L26" i="45" s="1"/>
  <c r="F26" i="45"/>
  <c r="K26" i="45" s="1"/>
  <c r="E26" i="45"/>
  <c r="J26" i="45" s="1"/>
  <c r="D26" i="45"/>
  <c r="I26" i="45" s="1"/>
  <c r="C26" i="45"/>
  <c r="H26" i="45" s="1"/>
  <c r="B26" i="45"/>
  <c r="V25" i="45"/>
  <c r="U25" i="45"/>
  <c r="T25" i="45"/>
  <c r="S25" i="45"/>
  <c r="R25" i="45"/>
  <c r="Q25" i="45"/>
  <c r="P25" i="45"/>
  <c r="O25" i="45"/>
  <c r="N25" i="45"/>
  <c r="M25" i="45"/>
  <c r="G25" i="45"/>
  <c r="L25" i="45" s="1"/>
  <c r="F25" i="45"/>
  <c r="K25" i="45" s="1"/>
  <c r="E25" i="45"/>
  <c r="J25" i="45" s="1"/>
  <c r="D25" i="45"/>
  <c r="I25" i="45" s="1"/>
  <c r="C25" i="45"/>
  <c r="H25" i="45" s="1"/>
  <c r="B25" i="45"/>
  <c r="V24" i="45"/>
  <c r="U24" i="45"/>
  <c r="T24" i="45"/>
  <c r="S24" i="45"/>
  <c r="R24" i="45"/>
  <c r="Q24" i="45"/>
  <c r="P24" i="45"/>
  <c r="O24" i="45"/>
  <c r="N24" i="45"/>
  <c r="M24" i="45"/>
  <c r="G24" i="45"/>
  <c r="L24" i="45" s="1"/>
  <c r="F24" i="45"/>
  <c r="K24" i="45" s="1"/>
  <c r="E24" i="45"/>
  <c r="J24" i="45" s="1"/>
  <c r="D24" i="45"/>
  <c r="I24" i="45" s="1"/>
  <c r="C24" i="45"/>
  <c r="H24" i="45" s="1"/>
  <c r="B24" i="45"/>
  <c r="V23" i="45"/>
  <c r="U23" i="45"/>
  <c r="T23" i="45"/>
  <c r="S23" i="45"/>
  <c r="R23" i="45"/>
  <c r="Q23" i="45"/>
  <c r="P23" i="45"/>
  <c r="O23" i="45"/>
  <c r="N23" i="45"/>
  <c r="M23" i="45"/>
  <c r="G23" i="45"/>
  <c r="L23" i="45" s="1"/>
  <c r="F23" i="45"/>
  <c r="K23" i="45" s="1"/>
  <c r="E23" i="45"/>
  <c r="J23" i="45" s="1"/>
  <c r="D23" i="45"/>
  <c r="I23" i="45" s="1"/>
  <c r="C23" i="45"/>
  <c r="H23" i="45" s="1"/>
  <c r="B23" i="45"/>
  <c r="V22" i="45"/>
  <c r="U22" i="45"/>
  <c r="T22" i="45"/>
  <c r="S22" i="45"/>
  <c r="R22" i="45"/>
  <c r="Q22" i="45"/>
  <c r="P22" i="45"/>
  <c r="O22" i="45"/>
  <c r="N22" i="45"/>
  <c r="M22" i="45"/>
  <c r="G22" i="45"/>
  <c r="L22" i="45" s="1"/>
  <c r="F22" i="45"/>
  <c r="K22" i="45" s="1"/>
  <c r="E22" i="45"/>
  <c r="J22" i="45" s="1"/>
  <c r="D22" i="45"/>
  <c r="I22" i="45" s="1"/>
  <c r="C22" i="45"/>
  <c r="H22" i="45" s="1"/>
  <c r="B22" i="45"/>
  <c r="V21" i="45"/>
  <c r="U21" i="45"/>
  <c r="T21" i="45"/>
  <c r="S21" i="45"/>
  <c r="R21" i="45"/>
  <c r="Q21" i="45"/>
  <c r="P21" i="45"/>
  <c r="O21" i="45"/>
  <c r="N21" i="45"/>
  <c r="M21" i="45"/>
  <c r="G21" i="45"/>
  <c r="L21" i="45" s="1"/>
  <c r="F21" i="45"/>
  <c r="K21" i="45" s="1"/>
  <c r="E21" i="45"/>
  <c r="J21" i="45" s="1"/>
  <c r="D21" i="45"/>
  <c r="I21" i="45" s="1"/>
  <c r="C21" i="45"/>
  <c r="H21" i="45" s="1"/>
  <c r="B21" i="45"/>
  <c r="V20" i="45"/>
  <c r="U20" i="45"/>
  <c r="T20" i="45"/>
  <c r="S20" i="45"/>
  <c r="R20" i="45"/>
  <c r="Q20" i="45"/>
  <c r="P20" i="45"/>
  <c r="O20" i="45"/>
  <c r="N20" i="45"/>
  <c r="M20" i="45"/>
  <c r="G20" i="45"/>
  <c r="L20" i="45" s="1"/>
  <c r="F20" i="45"/>
  <c r="K20" i="45" s="1"/>
  <c r="E20" i="45"/>
  <c r="J20" i="45" s="1"/>
  <c r="D20" i="45"/>
  <c r="I20" i="45" s="1"/>
  <c r="C20" i="45"/>
  <c r="H20" i="45" s="1"/>
  <c r="B20" i="45"/>
  <c r="V19" i="45"/>
  <c r="U19" i="45"/>
  <c r="T19" i="45"/>
  <c r="S19" i="45"/>
  <c r="R19" i="45"/>
  <c r="Q19" i="45"/>
  <c r="P19" i="45"/>
  <c r="O19" i="45"/>
  <c r="N19" i="45"/>
  <c r="M19" i="45"/>
  <c r="G19" i="45"/>
  <c r="L19" i="45" s="1"/>
  <c r="F19" i="45"/>
  <c r="K19" i="45" s="1"/>
  <c r="E19" i="45"/>
  <c r="J19" i="45" s="1"/>
  <c r="D19" i="45"/>
  <c r="I19" i="45" s="1"/>
  <c r="C19" i="45"/>
  <c r="H19" i="45" s="1"/>
  <c r="B19" i="45"/>
  <c r="V18" i="45"/>
  <c r="U18" i="45"/>
  <c r="T18" i="45"/>
  <c r="S18" i="45"/>
  <c r="R18" i="45"/>
  <c r="Q18" i="45"/>
  <c r="P18" i="45"/>
  <c r="O18" i="45"/>
  <c r="N18" i="45"/>
  <c r="M18" i="45"/>
  <c r="G18" i="45"/>
  <c r="L18" i="45" s="1"/>
  <c r="F18" i="45"/>
  <c r="K18" i="45" s="1"/>
  <c r="E18" i="45"/>
  <c r="J18" i="45" s="1"/>
  <c r="D18" i="45"/>
  <c r="I18" i="45" s="1"/>
  <c r="C18" i="45"/>
  <c r="H18" i="45" s="1"/>
  <c r="B18" i="45"/>
  <c r="V17" i="45"/>
  <c r="U17" i="45"/>
  <c r="T17" i="45"/>
  <c r="S17" i="45"/>
  <c r="R17" i="45"/>
  <c r="Q17" i="45"/>
  <c r="P17" i="45"/>
  <c r="O17" i="45"/>
  <c r="N17" i="45"/>
  <c r="M17" i="45"/>
  <c r="G17" i="45"/>
  <c r="L17" i="45" s="1"/>
  <c r="F17" i="45"/>
  <c r="K17" i="45" s="1"/>
  <c r="E17" i="45"/>
  <c r="J17" i="45" s="1"/>
  <c r="D17" i="45"/>
  <c r="I17" i="45" s="1"/>
  <c r="C17" i="45"/>
  <c r="H17" i="45" s="1"/>
  <c r="B17" i="45"/>
  <c r="V16" i="45"/>
  <c r="U16" i="45"/>
  <c r="T16" i="45"/>
  <c r="S16" i="45"/>
  <c r="R16" i="45"/>
  <c r="Q16" i="45"/>
  <c r="P16" i="45"/>
  <c r="O16" i="45"/>
  <c r="N16" i="45"/>
  <c r="M16" i="45"/>
  <c r="G16" i="45"/>
  <c r="L16" i="45" s="1"/>
  <c r="F16" i="45"/>
  <c r="K16" i="45" s="1"/>
  <c r="E16" i="45"/>
  <c r="J16" i="45" s="1"/>
  <c r="D16" i="45"/>
  <c r="I16" i="45" s="1"/>
  <c r="C16" i="45"/>
  <c r="H16" i="45" s="1"/>
  <c r="B16" i="45"/>
  <c r="V15" i="45"/>
  <c r="U15" i="45"/>
  <c r="T15" i="45"/>
  <c r="S15" i="45"/>
  <c r="R15" i="45"/>
  <c r="Q15" i="45"/>
  <c r="P15" i="45"/>
  <c r="O15" i="45"/>
  <c r="N15" i="45"/>
  <c r="M15" i="45"/>
  <c r="G15" i="45"/>
  <c r="L15" i="45" s="1"/>
  <c r="F15" i="45"/>
  <c r="K15" i="45" s="1"/>
  <c r="E15" i="45"/>
  <c r="J15" i="45" s="1"/>
  <c r="D15" i="45"/>
  <c r="I15" i="45" s="1"/>
  <c r="C15" i="45"/>
  <c r="H15" i="45" s="1"/>
  <c r="B15" i="45"/>
  <c r="V14" i="45"/>
  <c r="U14" i="45"/>
  <c r="T14" i="45"/>
  <c r="S14" i="45"/>
  <c r="R14" i="45"/>
  <c r="Q14" i="45"/>
  <c r="P14" i="45"/>
  <c r="O14" i="45"/>
  <c r="N14" i="45"/>
  <c r="M14" i="45"/>
  <c r="G14" i="45"/>
  <c r="L14" i="45" s="1"/>
  <c r="E14" i="45"/>
  <c r="J14" i="45" s="1"/>
  <c r="D14" i="45"/>
  <c r="I14" i="45" s="1"/>
  <c r="C14" i="45"/>
  <c r="H14" i="45" s="1"/>
  <c r="B14" i="45"/>
  <c r="V13" i="45"/>
  <c r="U13" i="45"/>
  <c r="T13" i="45"/>
  <c r="S13" i="45"/>
  <c r="R13" i="45"/>
  <c r="Q13" i="45"/>
  <c r="P13" i="45"/>
  <c r="O13" i="45"/>
  <c r="N13" i="45"/>
  <c r="M13" i="45"/>
  <c r="G13" i="45"/>
  <c r="L13" i="45" s="1"/>
  <c r="F13" i="45"/>
  <c r="K13" i="45" s="1"/>
  <c r="E13" i="45"/>
  <c r="J13" i="45" s="1"/>
  <c r="D13" i="45"/>
  <c r="I13" i="45" s="1"/>
  <c r="C13" i="45"/>
  <c r="H13" i="45" s="1"/>
  <c r="B13" i="45"/>
  <c r="V11" i="45"/>
  <c r="U11" i="45"/>
  <c r="T11" i="45"/>
  <c r="S11" i="45"/>
  <c r="R11" i="45"/>
  <c r="Q11" i="45"/>
  <c r="P11" i="45"/>
  <c r="O11" i="45"/>
  <c r="N11" i="45"/>
  <c r="M11" i="45"/>
  <c r="G11" i="45"/>
  <c r="L11" i="45" s="1"/>
  <c r="F11" i="45"/>
  <c r="K11" i="45" s="1"/>
  <c r="E11" i="45"/>
  <c r="J11" i="45" s="1"/>
  <c r="D11" i="45"/>
  <c r="I11" i="45" s="1"/>
  <c r="C11" i="45"/>
  <c r="H11" i="45" s="1"/>
  <c r="B11" i="45"/>
  <c r="V10" i="45"/>
  <c r="U10" i="45"/>
  <c r="T10" i="45"/>
  <c r="S10" i="45"/>
  <c r="R10" i="45"/>
  <c r="Q10" i="45"/>
  <c r="P10" i="45"/>
  <c r="O10" i="45"/>
  <c r="N10" i="45"/>
  <c r="M10" i="45"/>
  <c r="G10" i="45"/>
  <c r="L10" i="45" s="1"/>
  <c r="F10" i="45"/>
  <c r="K10" i="45" s="1"/>
  <c r="E10" i="45"/>
  <c r="J10" i="45" s="1"/>
  <c r="D10" i="45"/>
  <c r="I10" i="45" s="1"/>
  <c r="C10" i="45"/>
  <c r="H10" i="45" s="1"/>
  <c r="B10" i="45"/>
  <c r="V9" i="45"/>
  <c r="U9" i="45"/>
  <c r="T9" i="45"/>
  <c r="S9" i="45"/>
  <c r="R9" i="45"/>
  <c r="Q9" i="45"/>
  <c r="P9" i="45"/>
  <c r="O9" i="45"/>
  <c r="N9" i="45"/>
  <c r="M9" i="45"/>
  <c r="G9" i="45"/>
  <c r="L9" i="45" s="1"/>
  <c r="F9" i="45"/>
  <c r="K9" i="45" s="1"/>
  <c r="E9" i="45"/>
  <c r="J9" i="45" s="1"/>
  <c r="D9" i="45"/>
  <c r="I9" i="45" s="1"/>
  <c r="C9" i="45"/>
  <c r="H9" i="45" s="1"/>
  <c r="B9" i="45"/>
  <c r="V8" i="45"/>
  <c r="V27" i="45" s="1"/>
  <c r="U8" i="45"/>
  <c r="U27" i="45" s="1"/>
  <c r="T8" i="45"/>
  <c r="T27" i="45" s="1"/>
  <c r="S8" i="45"/>
  <c r="S27" i="45" s="1"/>
  <c r="R8" i="45"/>
  <c r="R27" i="45" s="1"/>
  <c r="Q8" i="45"/>
  <c r="Q27" i="45" s="1"/>
  <c r="G52" i="41" s="1"/>
  <c r="P8" i="45"/>
  <c r="P27" i="45" s="1"/>
  <c r="F52" i="41" s="1"/>
  <c r="O8" i="45"/>
  <c r="O27" i="45" s="1"/>
  <c r="E52" i="41" s="1"/>
  <c r="N8" i="45"/>
  <c r="N27" i="45" s="1"/>
  <c r="D52" i="41" s="1"/>
  <c r="M8" i="45"/>
  <c r="M27" i="45" s="1"/>
  <c r="C52" i="41" s="1"/>
  <c r="G8" i="45"/>
  <c r="G27" i="45" s="1"/>
  <c r="F8" i="45"/>
  <c r="E8" i="45"/>
  <c r="E27" i="45" s="1"/>
  <c r="D8" i="45"/>
  <c r="D27" i="45" s="1"/>
  <c r="C8" i="45"/>
  <c r="C27" i="45" s="1"/>
  <c r="B8" i="45"/>
  <c r="S56" i="44"/>
  <c r="D56" i="44" s="1"/>
  <c r="S55" i="44"/>
  <c r="D55" i="44" s="1"/>
  <c r="S54" i="44"/>
  <c r="D54" i="44" s="1"/>
  <c r="S53" i="44"/>
  <c r="D53" i="44" s="1"/>
  <c r="S52" i="44"/>
  <c r="D52" i="44" s="1"/>
  <c r="S51" i="44"/>
  <c r="D51" i="44" s="1"/>
  <c r="S50" i="44"/>
  <c r="D50" i="44" s="1"/>
  <c r="S49" i="44"/>
  <c r="D49" i="44" s="1"/>
  <c r="S48" i="44"/>
  <c r="D48" i="44" s="1"/>
  <c r="S47" i="44"/>
  <c r="D47" i="44" s="1"/>
  <c r="S46" i="44"/>
  <c r="D46" i="44" s="1"/>
  <c r="S45" i="44"/>
  <c r="D45" i="44" s="1"/>
  <c r="S43" i="44"/>
  <c r="D43" i="44" s="1"/>
  <c r="S42" i="44"/>
  <c r="D42" i="44" s="1"/>
  <c r="S41" i="44"/>
  <c r="D41" i="44" s="1"/>
  <c r="S40" i="44"/>
  <c r="E72" i="33"/>
  <c r="D72" i="33"/>
  <c r="C72" i="33"/>
  <c r="T39" i="44"/>
  <c r="T40" i="44"/>
  <c r="T41" i="44"/>
  <c r="T42" i="44"/>
  <c r="T44" i="44"/>
  <c r="T45" i="44"/>
  <c r="T46" i="44"/>
  <c r="T47" i="44"/>
  <c r="T48" i="44"/>
  <c r="T49" i="44"/>
  <c r="T50" i="44"/>
  <c r="T51" i="44"/>
  <c r="T52" i="44"/>
  <c r="T53" i="44"/>
  <c r="T54" i="44"/>
  <c r="T55" i="44"/>
  <c r="T56" i="44"/>
  <c r="T57" i="44"/>
  <c r="T38" i="44"/>
  <c r="D46" i="41"/>
  <c r="E46" i="41"/>
  <c r="F46" i="41"/>
  <c r="G46" i="41"/>
  <c r="C46" i="41"/>
  <c r="D35" i="41"/>
  <c r="E35" i="41"/>
  <c r="F35" i="41"/>
  <c r="G35" i="41"/>
  <c r="C35" i="41"/>
  <c r="C6" i="41"/>
  <c r="C50" i="41" s="1"/>
  <c r="C51" i="41" s="1"/>
  <c r="C53" i="41" s="1"/>
  <c r="D6" i="41"/>
  <c r="D50" i="41" s="1"/>
  <c r="D51" i="41" s="1"/>
  <c r="D53" i="41" s="1"/>
  <c r="E6" i="41"/>
  <c r="E50" i="41" s="1"/>
  <c r="E51" i="41" s="1"/>
  <c r="E53" i="41" s="1"/>
  <c r="F6" i="41"/>
  <c r="F50" i="41" s="1"/>
  <c r="F51" i="41" s="1"/>
  <c r="F53" i="41" s="1"/>
  <c r="H6" i="41"/>
  <c r="G6" i="41"/>
  <c r="G50" i="41" s="1"/>
  <c r="G51" i="41" s="1"/>
  <c r="G53" i="41" s="1"/>
  <c r="AQ169" i="33"/>
  <c r="O21" i="42"/>
  <c r="C24" i="41"/>
  <c r="C15" i="41" s="1"/>
  <c r="D24" i="41"/>
  <c r="D15" i="41" s="1"/>
  <c r="E24" i="41"/>
  <c r="E15" i="41" s="1"/>
  <c r="F24" i="41"/>
  <c r="F15" i="41" s="1"/>
  <c r="G24" i="41"/>
  <c r="G15" i="41" s="1"/>
  <c r="C25" i="41"/>
  <c r="C16" i="41" s="1"/>
  <c r="D25" i="41"/>
  <c r="D16" i="41" s="1"/>
  <c r="E25" i="41"/>
  <c r="E16" i="41" s="1"/>
  <c r="F25" i="41"/>
  <c r="F16" i="41" s="1"/>
  <c r="G25" i="41"/>
  <c r="G16" i="41" s="1"/>
  <c r="I57" i="44" s="1"/>
  <c r="D10" i="51" s="1"/>
  <c r="D23" i="41"/>
  <c r="D14" i="41" s="1"/>
  <c r="E23" i="41"/>
  <c r="E14" i="41" s="1"/>
  <c r="F23" i="41"/>
  <c r="F14" i="41" s="1"/>
  <c r="G23" i="41"/>
  <c r="G14" i="41" s="1"/>
  <c r="J57" i="44" s="1"/>
  <c r="D11" i="51" s="1"/>
  <c r="C23" i="41"/>
  <c r="C14" i="41" s="1"/>
  <c r="D22" i="41"/>
  <c r="D13" i="41" s="1"/>
  <c r="E22" i="41"/>
  <c r="E13" i="41" s="1"/>
  <c r="F22" i="41"/>
  <c r="F13" i="41" s="1"/>
  <c r="G22" i="41"/>
  <c r="G13" i="41" s="1"/>
  <c r="C22" i="41"/>
  <c r="C13" i="41" s="1"/>
  <c r="D21" i="41"/>
  <c r="D12" i="41" s="1"/>
  <c r="E21" i="41"/>
  <c r="E12" i="41" s="1"/>
  <c r="F21" i="41"/>
  <c r="F12" i="41" s="1"/>
  <c r="G21" i="41"/>
  <c r="G12" i="41" s="1"/>
  <c r="C21" i="41"/>
  <c r="C12" i="41" s="1"/>
  <c r="D20" i="41"/>
  <c r="D26" i="41" s="1"/>
  <c r="E20" i="41"/>
  <c r="E26" i="41" s="1"/>
  <c r="F20" i="41"/>
  <c r="F26" i="41" s="1"/>
  <c r="G20" i="41"/>
  <c r="G26" i="41" s="1"/>
  <c r="C20" i="41"/>
  <c r="C26" i="41" s="1"/>
  <c r="E38" i="44" l="1"/>
  <c r="E10" i="44" s="1"/>
  <c r="E56" i="44"/>
  <c r="E55" i="44"/>
  <c r="E54" i="44"/>
  <c r="E53" i="44"/>
  <c r="E52" i="44"/>
  <c r="E51" i="44"/>
  <c r="E50" i="44"/>
  <c r="E49" i="44"/>
  <c r="E48" i="44"/>
  <c r="E47" i="44"/>
  <c r="E46" i="44"/>
  <c r="E45" i="44"/>
  <c r="T43" i="44"/>
  <c r="E42" i="44"/>
  <c r="E41" i="44"/>
  <c r="E40" i="44"/>
  <c r="E39" i="44"/>
  <c r="G11" i="51"/>
  <c r="G10" i="51"/>
  <c r="S57" i="44"/>
  <c r="D40" i="44"/>
  <c r="H10" i="44"/>
  <c r="H24" i="44"/>
  <c r="H23" i="44"/>
  <c r="H22" i="44"/>
  <c r="H21" i="44"/>
  <c r="H20" i="44"/>
  <c r="H19" i="44"/>
  <c r="H18" i="44"/>
  <c r="H17" i="44"/>
  <c r="H15" i="44"/>
  <c r="H14" i="44"/>
  <c r="H13" i="44"/>
  <c r="H12" i="44"/>
  <c r="H11" i="44"/>
  <c r="E28" i="44"/>
  <c r="E27" i="44"/>
  <c r="E26" i="44"/>
  <c r="E25" i="44"/>
  <c r="E24" i="44"/>
  <c r="E23" i="44"/>
  <c r="E22" i="44"/>
  <c r="E21" i="44"/>
  <c r="E20" i="44"/>
  <c r="E19" i="44"/>
  <c r="E18" i="44"/>
  <c r="E17" i="44"/>
  <c r="E14" i="44"/>
  <c r="E13" i="44"/>
  <c r="E12" i="44"/>
  <c r="E11" i="44"/>
  <c r="H28" i="44"/>
  <c r="H27" i="44"/>
  <c r="H26" i="44"/>
  <c r="H25" i="44"/>
  <c r="E44" i="44"/>
  <c r="V57" i="44"/>
  <c r="H57" i="44" s="1"/>
  <c r="H44" i="44"/>
  <c r="U38" i="44"/>
  <c r="U39" i="44"/>
  <c r="I38" i="44"/>
  <c r="I56" i="44"/>
  <c r="I55" i="44"/>
  <c r="I54" i="44"/>
  <c r="I53" i="44"/>
  <c r="I52" i="44"/>
  <c r="I51" i="44"/>
  <c r="I50" i="44"/>
  <c r="I49" i="44"/>
  <c r="I48" i="44"/>
  <c r="I47" i="44"/>
  <c r="I46" i="44"/>
  <c r="I45" i="44"/>
  <c r="I44" i="44"/>
  <c r="I43" i="44"/>
  <c r="I42" i="44"/>
  <c r="I41" i="44"/>
  <c r="I40" i="44"/>
  <c r="I39" i="44"/>
  <c r="J38" i="44"/>
  <c r="J56" i="44"/>
  <c r="J55" i="44"/>
  <c r="J54" i="44"/>
  <c r="J53" i="44"/>
  <c r="J52" i="44"/>
  <c r="J51" i="44"/>
  <c r="J50" i="44"/>
  <c r="J49" i="44"/>
  <c r="J48" i="44"/>
  <c r="J47" i="44"/>
  <c r="J46" i="44"/>
  <c r="J45" i="44"/>
  <c r="J44" i="44"/>
  <c r="J43" i="44"/>
  <c r="J42" i="44"/>
  <c r="J41" i="44"/>
  <c r="J40" i="44"/>
  <c r="H8" i="45"/>
  <c r="H27" i="45" s="1"/>
  <c r="I8" i="45"/>
  <c r="I27" i="45" s="1"/>
  <c r="J8" i="45"/>
  <c r="J27" i="45" s="1"/>
  <c r="K8" i="45"/>
  <c r="L8" i="45"/>
  <c r="L27" i="45" s="1"/>
  <c r="H34" i="45"/>
  <c r="H53" i="45" s="1"/>
  <c r="I34" i="45"/>
  <c r="I53" i="45" s="1"/>
  <c r="J34" i="45"/>
  <c r="J53" i="45" s="1"/>
  <c r="K34" i="45"/>
  <c r="K53" i="45" s="1"/>
  <c r="D26" i="46"/>
  <c r="E26" i="46"/>
  <c r="K9" i="49"/>
  <c r="F14" i="45" s="1"/>
  <c r="K14" i="45" s="1"/>
  <c r="H3" i="50"/>
  <c r="I3" i="50" s="1"/>
  <c r="N3" i="50"/>
  <c r="G34" i="45" s="1"/>
  <c r="G5" i="50"/>
  <c r="I5" i="50" s="1"/>
  <c r="D22" i="50"/>
  <c r="E22" i="50"/>
  <c r="C11" i="41"/>
  <c r="G11" i="41"/>
  <c r="F11" i="41"/>
  <c r="E11" i="41"/>
  <c r="D11" i="41"/>
  <c r="G10" i="44" l="1"/>
  <c r="D9" i="51"/>
  <c r="D18" i="41"/>
  <c r="D54" i="41"/>
  <c r="E18" i="41"/>
  <c r="E54" i="41"/>
  <c r="F18" i="41"/>
  <c r="F54" i="41"/>
  <c r="G18" i="41"/>
  <c r="G54" i="41"/>
  <c r="C18" i="41"/>
  <c r="C54" i="41"/>
  <c r="J12" i="44"/>
  <c r="J13" i="44"/>
  <c r="J14" i="44"/>
  <c r="J15" i="44"/>
  <c r="J17" i="44"/>
  <c r="J18" i="44"/>
  <c r="J19" i="44"/>
  <c r="J20" i="44"/>
  <c r="J21" i="44"/>
  <c r="J22" i="44"/>
  <c r="J23" i="44"/>
  <c r="J24" i="44"/>
  <c r="J25" i="44"/>
  <c r="J26" i="44"/>
  <c r="J27" i="44"/>
  <c r="J28" i="44"/>
  <c r="J10" i="44"/>
  <c r="I11" i="44"/>
  <c r="I12" i="44"/>
  <c r="I13" i="44"/>
  <c r="I14" i="44"/>
  <c r="I15" i="44"/>
  <c r="I17" i="44"/>
  <c r="I18" i="44"/>
  <c r="I19" i="44"/>
  <c r="I20" i="44"/>
  <c r="I21" i="44"/>
  <c r="I22" i="44"/>
  <c r="I23" i="44"/>
  <c r="I24" i="44"/>
  <c r="I25" i="44"/>
  <c r="I26" i="44"/>
  <c r="I27" i="44"/>
  <c r="I28" i="44"/>
  <c r="I10" i="44"/>
  <c r="H29" i="44"/>
  <c r="H4" i="44" s="1"/>
  <c r="J39" i="44"/>
  <c r="D57" i="44"/>
  <c r="E5" i="51" s="1"/>
  <c r="E43" i="44"/>
  <c r="E15" i="44" s="1"/>
  <c r="E29" i="44" s="1"/>
  <c r="E4" i="44" s="1"/>
  <c r="G53" i="45"/>
  <c r="L34" i="45"/>
  <c r="L53" i="45" s="1"/>
  <c r="F26" i="46"/>
  <c r="K27" i="45"/>
  <c r="F27" i="45"/>
  <c r="G28" i="44" l="1"/>
  <c r="G27" i="44"/>
  <c r="G26" i="44"/>
  <c r="G25" i="44"/>
  <c r="G24" i="44"/>
  <c r="G23" i="44"/>
  <c r="G22" i="44"/>
  <c r="G21" i="44"/>
  <c r="G20" i="44"/>
  <c r="G19" i="44"/>
  <c r="G18" i="44"/>
  <c r="G17" i="44"/>
  <c r="G15" i="44"/>
  <c r="G16" i="44"/>
  <c r="R44" i="44"/>
  <c r="G14" i="44"/>
  <c r="G13" i="44"/>
  <c r="G12" i="44"/>
  <c r="G11" i="44"/>
  <c r="E11" i="51"/>
  <c r="E10" i="51"/>
  <c r="H11" i="51"/>
  <c r="H10" i="51"/>
  <c r="G9" i="51"/>
  <c r="H9" i="51" s="1"/>
  <c r="E9" i="51"/>
  <c r="R39" i="44"/>
  <c r="J11" i="44"/>
  <c r="I29" i="44"/>
  <c r="I4" i="44" s="1"/>
  <c r="J29" i="44"/>
  <c r="J4" i="44" s="1"/>
  <c r="D7" i="51" l="1"/>
  <c r="F8" i="37"/>
  <c r="G8" i="37"/>
  <c r="F9" i="37"/>
  <c r="G9" i="37"/>
  <c r="F10" i="37"/>
  <c r="G10" i="37"/>
  <c r="F11" i="37"/>
  <c r="G11" i="37"/>
  <c r="H11" i="37" s="1"/>
  <c r="F12" i="37"/>
  <c r="G12" i="37"/>
  <c r="F13" i="37"/>
  <c r="G13" i="37"/>
  <c r="F14" i="37"/>
  <c r="G14" i="37"/>
  <c r="F15" i="37"/>
  <c r="G15" i="37"/>
  <c r="H15" i="37" s="1"/>
  <c r="F16" i="37"/>
  <c r="G16" i="37"/>
  <c r="F17" i="37"/>
  <c r="G17" i="37"/>
  <c r="F18" i="37"/>
  <c r="G18" i="37"/>
  <c r="F19" i="37"/>
  <c r="G19" i="37"/>
  <c r="H19" i="37" s="1"/>
  <c r="F20" i="37"/>
  <c r="G20" i="37"/>
  <c r="F21" i="37"/>
  <c r="G21" i="37"/>
  <c r="F22" i="37"/>
  <c r="G22" i="37"/>
  <c r="F23" i="37"/>
  <c r="G23" i="37"/>
  <c r="H23" i="37" s="1"/>
  <c r="F24" i="37"/>
  <c r="G24" i="37"/>
  <c r="F25" i="37"/>
  <c r="G25" i="37"/>
  <c r="F26" i="37"/>
  <c r="G26" i="37"/>
  <c r="C27" i="37"/>
  <c r="D27" i="37"/>
  <c r="E27" i="37"/>
  <c r="G27" i="37"/>
  <c r="H35" i="37"/>
  <c r="I35" i="37"/>
  <c r="AC35" i="37" s="1"/>
  <c r="J35" i="37"/>
  <c r="K35" i="37"/>
  <c r="L35" i="37"/>
  <c r="AF35" i="37" s="1"/>
  <c r="M35" i="37"/>
  <c r="N35" i="37"/>
  <c r="O35" i="37"/>
  <c r="P35" i="37"/>
  <c r="AJ35" i="37" s="1"/>
  <c r="Q35" i="37"/>
  <c r="R35" i="37"/>
  <c r="S35" i="37"/>
  <c r="T35" i="37"/>
  <c r="AN35" i="37" s="1"/>
  <c r="U35" i="37"/>
  <c r="V35" i="37"/>
  <c r="W35" i="37"/>
  <c r="X35" i="37"/>
  <c r="AR35" i="37" s="1"/>
  <c r="Y35" i="37"/>
  <c r="AS35" i="37" s="1"/>
  <c r="Z35" i="37"/>
  <c r="AD35" i="37"/>
  <c r="AE35" i="37"/>
  <c r="AG35" i="37"/>
  <c r="AH35" i="37"/>
  <c r="AI35" i="37"/>
  <c r="AK35" i="37"/>
  <c r="AL35" i="37"/>
  <c r="AM35" i="37"/>
  <c r="AO35" i="37"/>
  <c r="AP35" i="37"/>
  <c r="AQ35" i="37"/>
  <c r="AT35" i="37"/>
  <c r="H36" i="37"/>
  <c r="I36" i="37"/>
  <c r="J36" i="37"/>
  <c r="K36" i="37"/>
  <c r="L36" i="37"/>
  <c r="M36" i="37"/>
  <c r="N36" i="37"/>
  <c r="O36" i="37"/>
  <c r="P36" i="37"/>
  <c r="Q36" i="37"/>
  <c r="R36" i="37"/>
  <c r="S36" i="37"/>
  <c r="T36" i="37"/>
  <c r="U36" i="37"/>
  <c r="V36" i="37"/>
  <c r="W36" i="37"/>
  <c r="X36" i="37"/>
  <c r="Y36" i="37"/>
  <c r="Z36" i="37"/>
  <c r="AB36" i="37"/>
  <c r="AC36" i="37"/>
  <c r="AD36" i="37"/>
  <c r="AE36" i="37"/>
  <c r="AF36" i="37"/>
  <c r="AG36" i="37"/>
  <c r="AH36" i="37"/>
  <c r="AI36" i="37"/>
  <c r="AJ36" i="37"/>
  <c r="AK36" i="37"/>
  <c r="AL36" i="37"/>
  <c r="AM36" i="37"/>
  <c r="AN36" i="37"/>
  <c r="AO36" i="37"/>
  <c r="AP36" i="37"/>
  <c r="AQ36" i="37"/>
  <c r="AR36" i="37"/>
  <c r="AS36" i="37"/>
  <c r="AT36" i="37"/>
  <c r="H37" i="37"/>
  <c r="I37" i="37"/>
  <c r="AC37" i="37" s="1"/>
  <c r="J37" i="37"/>
  <c r="K37" i="37"/>
  <c r="L37" i="37"/>
  <c r="AF37" i="37" s="1"/>
  <c r="M37" i="37"/>
  <c r="AG37" i="37" s="1"/>
  <c r="N37" i="37"/>
  <c r="O37" i="37"/>
  <c r="P37" i="37"/>
  <c r="AJ37" i="37" s="1"/>
  <c r="Q37" i="37"/>
  <c r="R37" i="37"/>
  <c r="S37" i="37"/>
  <c r="T37" i="37"/>
  <c r="AN37" i="37" s="1"/>
  <c r="U37" i="37"/>
  <c r="AO37" i="37" s="1"/>
  <c r="V37" i="37"/>
  <c r="W37" i="37"/>
  <c r="X37" i="37"/>
  <c r="AR37" i="37" s="1"/>
  <c r="Y37" i="37"/>
  <c r="Z37" i="37"/>
  <c r="AD37" i="37"/>
  <c r="AE37" i="37"/>
  <c r="AH37" i="37"/>
  <c r="AI37" i="37"/>
  <c r="AK37" i="37"/>
  <c r="AL37" i="37"/>
  <c r="AM37" i="37"/>
  <c r="AP37" i="37"/>
  <c r="AQ37" i="37"/>
  <c r="AS37" i="37"/>
  <c r="AT37" i="37"/>
  <c r="H38" i="37"/>
  <c r="I38" i="37"/>
  <c r="J38" i="37"/>
  <c r="K38" i="37"/>
  <c r="L38" i="37"/>
  <c r="M38" i="37"/>
  <c r="N38" i="37"/>
  <c r="O38" i="37"/>
  <c r="P38" i="37"/>
  <c r="Q38" i="37"/>
  <c r="R38" i="37"/>
  <c r="S38" i="37"/>
  <c r="T38" i="37"/>
  <c r="U38" i="37"/>
  <c r="V38" i="37"/>
  <c r="W38" i="37"/>
  <c r="X38" i="37"/>
  <c r="Y38" i="37"/>
  <c r="Z38" i="37"/>
  <c r="AB38" i="37"/>
  <c r="AC38" i="37"/>
  <c r="AD38" i="37"/>
  <c r="AE38" i="37"/>
  <c r="AF38" i="37"/>
  <c r="AG38" i="37"/>
  <c r="AH38" i="37"/>
  <c r="AI38" i="37"/>
  <c r="AJ38" i="37"/>
  <c r="AK38" i="37"/>
  <c r="AL38" i="37"/>
  <c r="AM38" i="37"/>
  <c r="AN38" i="37"/>
  <c r="AO38" i="37"/>
  <c r="AP38" i="37"/>
  <c r="AQ38" i="37"/>
  <c r="AR38" i="37"/>
  <c r="AS38" i="37"/>
  <c r="AT38" i="37"/>
  <c r="H39" i="37"/>
  <c r="I39" i="37"/>
  <c r="J39" i="37"/>
  <c r="K39" i="37"/>
  <c r="L39" i="37"/>
  <c r="AF39" i="37" s="1"/>
  <c r="M39" i="37"/>
  <c r="N39" i="37"/>
  <c r="O39" i="37"/>
  <c r="P39" i="37"/>
  <c r="AJ39" i="37" s="1"/>
  <c r="Q39" i="37"/>
  <c r="R39" i="37"/>
  <c r="S39" i="37"/>
  <c r="T39" i="37"/>
  <c r="AN39" i="37" s="1"/>
  <c r="U39" i="37"/>
  <c r="V39" i="37"/>
  <c r="W39" i="37"/>
  <c r="X39" i="37"/>
  <c r="AR39" i="37" s="1"/>
  <c r="Y39" i="37"/>
  <c r="Z39" i="37"/>
  <c r="AC39" i="37"/>
  <c r="AD39" i="37"/>
  <c r="AE39" i="37"/>
  <c r="AG39" i="37"/>
  <c r="AH39" i="37"/>
  <c r="AI39" i="37"/>
  <c r="AK39" i="37"/>
  <c r="AL39" i="37"/>
  <c r="AM39" i="37"/>
  <c r="AO39" i="37"/>
  <c r="AP39" i="37"/>
  <c r="AQ39" i="37"/>
  <c r="AS39" i="37"/>
  <c r="AT39" i="37"/>
  <c r="E40" i="37"/>
  <c r="H40" i="37" s="1"/>
  <c r="J40" i="37"/>
  <c r="K40" i="37"/>
  <c r="AE40" i="37" s="1"/>
  <c r="L40" i="37"/>
  <c r="M40" i="37"/>
  <c r="N40" i="37"/>
  <c r="O40" i="37"/>
  <c r="AI40" i="37" s="1"/>
  <c r="P40" i="37"/>
  <c r="Q40" i="37"/>
  <c r="R40" i="37"/>
  <c r="S40" i="37"/>
  <c r="AM40" i="37" s="1"/>
  <c r="T40" i="37"/>
  <c r="U40" i="37"/>
  <c r="W40" i="37"/>
  <c r="AQ40" i="37" s="1"/>
  <c r="X40" i="37"/>
  <c r="AR40" i="37" s="1"/>
  <c r="Y40" i="37"/>
  <c r="Z40" i="37"/>
  <c r="AB40" i="37"/>
  <c r="AD40" i="37"/>
  <c r="AF40" i="37"/>
  <c r="AG40" i="37"/>
  <c r="AH40" i="37"/>
  <c r="AJ40" i="37"/>
  <c r="AK40" i="37"/>
  <c r="AL40" i="37"/>
  <c r="AN40" i="37"/>
  <c r="AO40" i="37"/>
  <c r="AS40" i="37"/>
  <c r="AT40" i="37"/>
  <c r="E41" i="37"/>
  <c r="J41" i="37"/>
  <c r="AD41" i="37" s="1"/>
  <c r="K41" i="37"/>
  <c r="L41" i="37"/>
  <c r="M41" i="37"/>
  <c r="N41" i="37"/>
  <c r="AH41" i="37" s="1"/>
  <c r="O41" i="37"/>
  <c r="Q41" i="37"/>
  <c r="R41" i="37"/>
  <c r="S41" i="37"/>
  <c r="AM41" i="37" s="1"/>
  <c r="T41" i="37"/>
  <c r="U41" i="37"/>
  <c r="V41" i="37"/>
  <c r="W41" i="37"/>
  <c r="AQ41" i="37" s="1"/>
  <c r="Y41" i="37"/>
  <c r="Z41" i="37"/>
  <c r="AE41" i="37"/>
  <c r="AF41" i="37"/>
  <c r="AG41" i="37"/>
  <c r="AI41" i="37"/>
  <c r="AK41" i="37"/>
  <c r="AL41" i="37"/>
  <c r="AN41" i="37"/>
  <c r="AO41" i="37"/>
  <c r="AP41" i="37"/>
  <c r="AS41" i="37"/>
  <c r="AT41" i="37"/>
  <c r="E42" i="37"/>
  <c r="H42" i="37" s="1"/>
  <c r="I42" i="37"/>
  <c r="J42" i="37"/>
  <c r="K42" i="37"/>
  <c r="L42" i="37"/>
  <c r="M42" i="37"/>
  <c r="N42" i="37"/>
  <c r="O42" i="37"/>
  <c r="Q42" i="37"/>
  <c r="R42" i="37"/>
  <c r="S42" i="37"/>
  <c r="T42" i="37"/>
  <c r="U42" i="37"/>
  <c r="V42" i="37"/>
  <c r="W42" i="37"/>
  <c r="Y42" i="37"/>
  <c r="Z42" i="37"/>
  <c r="AC42" i="37"/>
  <c r="AD42" i="37"/>
  <c r="AE42" i="37"/>
  <c r="AF42" i="37"/>
  <c r="AG42" i="37"/>
  <c r="AH42" i="37"/>
  <c r="AI42" i="37"/>
  <c r="AK42" i="37"/>
  <c r="AL42" i="37"/>
  <c r="AM42" i="37"/>
  <c r="AN42" i="37"/>
  <c r="AO42" i="37"/>
  <c r="AP42" i="37"/>
  <c r="AQ42" i="37"/>
  <c r="AS42" i="37"/>
  <c r="AT42" i="37"/>
  <c r="H43" i="37"/>
  <c r="I43" i="37"/>
  <c r="J43" i="37"/>
  <c r="K43" i="37"/>
  <c r="L43" i="37"/>
  <c r="M43" i="37"/>
  <c r="N43" i="37"/>
  <c r="O43" i="37"/>
  <c r="P43" i="37"/>
  <c r="Q43" i="37"/>
  <c r="R43" i="37"/>
  <c r="S43" i="37"/>
  <c r="T43" i="37"/>
  <c r="U43" i="37"/>
  <c r="V43" i="37"/>
  <c r="W43" i="37"/>
  <c r="X43" i="37"/>
  <c r="Y43" i="37"/>
  <c r="Z43" i="37"/>
  <c r="AB43" i="37"/>
  <c r="AC43" i="37"/>
  <c r="AD43" i="37"/>
  <c r="AE43" i="37"/>
  <c r="AF43" i="37"/>
  <c r="AG43" i="37"/>
  <c r="AH43" i="37"/>
  <c r="AI43" i="37"/>
  <c r="AJ43" i="37"/>
  <c r="AK43" i="37"/>
  <c r="AL43" i="37"/>
  <c r="AM43" i="37"/>
  <c r="AN43" i="37"/>
  <c r="AO43" i="37"/>
  <c r="AP43" i="37"/>
  <c r="AQ43" i="37"/>
  <c r="AR43" i="37"/>
  <c r="AS43" i="37"/>
  <c r="AT43" i="37"/>
  <c r="E44" i="37"/>
  <c r="H44" i="37"/>
  <c r="I44" i="37"/>
  <c r="AC44" i="37" s="1"/>
  <c r="E14" i="36" s="1"/>
  <c r="J44" i="37"/>
  <c r="K44" i="37"/>
  <c r="L44" i="37"/>
  <c r="AF44" i="37" s="1"/>
  <c r="M44" i="37"/>
  <c r="N44" i="37"/>
  <c r="O44" i="37"/>
  <c r="P44" i="37"/>
  <c r="AJ44" i="37" s="1"/>
  <c r="Q44" i="37"/>
  <c r="R44" i="37"/>
  <c r="S44" i="37"/>
  <c r="T44" i="37"/>
  <c r="AN44" i="37" s="1"/>
  <c r="U44" i="37"/>
  <c r="V44" i="37"/>
  <c r="W44" i="37"/>
  <c r="X44" i="37"/>
  <c r="AR44" i="37" s="1"/>
  <c r="Y44" i="37"/>
  <c r="AS44" i="37" s="1"/>
  <c r="U14" i="36" s="1"/>
  <c r="Z44" i="37"/>
  <c r="AD44" i="37"/>
  <c r="AE44" i="37"/>
  <c r="AG44" i="37"/>
  <c r="I14" i="36" s="1"/>
  <c r="AH44" i="37"/>
  <c r="AI44" i="37"/>
  <c r="AK44" i="37"/>
  <c r="AL44" i="37"/>
  <c r="AM44" i="37"/>
  <c r="AO44" i="37"/>
  <c r="Q14" i="36" s="1"/>
  <c r="AP44" i="37"/>
  <c r="AQ44" i="37"/>
  <c r="AT44" i="37"/>
  <c r="E45" i="37"/>
  <c r="H45" i="37" s="1"/>
  <c r="AB45" i="37" s="1"/>
  <c r="J45" i="37"/>
  <c r="K45" i="37"/>
  <c r="AE45" i="37" s="1"/>
  <c r="L45" i="37"/>
  <c r="M45" i="37"/>
  <c r="N45" i="37"/>
  <c r="O45" i="37"/>
  <c r="AI45" i="37" s="1"/>
  <c r="P45" i="37"/>
  <c r="Q45" i="37"/>
  <c r="R45" i="37"/>
  <c r="S45" i="37"/>
  <c r="AM45" i="37" s="1"/>
  <c r="T45" i="37"/>
  <c r="U45" i="37"/>
  <c r="W45" i="37"/>
  <c r="AQ45" i="37" s="1"/>
  <c r="X45" i="37"/>
  <c r="AR45" i="37" s="1"/>
  <c r="Y45" i="37"/>
  <c r="Z45" i="37"/>
  <c r="AD45" i="37"/>
  <c r="AF45" i="37"/>
  <c r="AG45" i="37"/>
  <c r="AH45" i="37"/>
  <c r="AJ45" i="37"/>
  <c r="AK45" i="37"/>
  <c r="AL45" i="37"/>
  <c r="AN45" i="37"/>
  <c r="AO45" i="37"/>
  <c r="AS45" i="37"/>
  <c r="AT45" i="37"/>
  <c r="E46" i="37"/>
  <c r="J46" i="37"/>
  <c r="AD46" i="37" s="1"/>
  <c r="K46" i="37"/>
  <c r="L46" i="37"/>
  <c r="M46" i="37"/>
  <c r="N46" i="37"/>
  <c r="AH46" i="37" s="1"/>
  <c r="O46" i="37"/>
  <c r="Q46" i="37"/>
  <c r="R46" i="37"/>
  <c r="S46" i="37"/>
  <c r="AM46" i="37" s="1"/>
  <c r="O16" i="36" s="1"/>
  <c r="T46" i="37"/>
  <c r="U46" i="37"/>
  <c r="V46" i="37"/>
  <c r="W46" i="37"/>
  <c r="AQ46" i="37" s="1"/>
  <c r="S16" i="36" s="1"/>
  <c r="Y46" i="37"/>
  <c r="Z46" i="37"/>
  <c r="AE46" i="37"/>
  <c r="AF46" i="37"/>
  <c r="AG46" i="37"/>
  <c r="AI46" i="37"/>
  <c r="K16" i="36" s="1"/>
  <c r="AK46" i="37"/>
  <c r="AL46" i="37"/>
  <c r="AN46" i="37"/>
  <c r="AO46" i="37"/>
  <c r="AP46" i="37"/>
  <c r="AS46" i="37"/>
  <c r="AT46" i="37"/>
  <c r="H47" i="37"/>
  <c r="I47" i="37"/>
  <c r="J47" i="37"/>
  <c r="K47" i="37"/>
  <c r="L47" i="37"/>
  <c r="M47" i="37"/>
  <c r="N47" i="37"/>
  <c r="O47" i="37"/>
  <c r="P47" i="37"/>
  <c r="Q47" i="37"/>
  <c r="R47" i="37"/>
  <c r="S47" i="37"/>
  <c r="T47" i="37"/>
  <c r="U47" i="37"/>
  <c r="V47" i="37"/>
  <c r="W47" i="37"/>
  <c r="X47" i="37"/>
  <c r="Y47" i="37"/>
  <c r="Z47" i="37"/>
  <c r="AB47" i="37"/>
  <c r="AC47" i="37"/>
  <c r="AD47" i="37"/>
  <c r="AE47" i="37"/>
  <c r="AF47" i="37"/>
  <c r="AG47" i="37"/>
  <c r="AH47" i="37"/>
  <c r="AI47" i="37"/>
  <c r="AJ47" i="37"/>
  <c r="AK47" i="37"/>
  <c r="AL47" i="37"/>
  <c r="AM47" i="37"/>
  <c r="AN47" i="37"/>
  <c r="AO47" i="37"/>
  <c r="AP47" i="37"/>
  <c r="AQ47" i="37"/>
  <c r="AR47" i="37"/>
  <c r="AS47" i="37"/>
  <c r="AT47" i="37"/>
  <c r="H48" i="37"/>
  <c r="I48" i="37"/>
  <c r="J48" i="37"/>
  <c r="K48" i="37"/>
  <c r="L48" i="37"/>
  <c r="M48" i="37"/>
  <c r="N48" i="37"/>
  <c r="O48" i="37"/>
  <c r="P48" i="37"/>
  <c r="Q48" i="37"/>
  <c r="R48" i="37"/>
  <c r="S48" i="37"/>
  <c r="T48" i="37"/>
  <c r="U48" i="37"/>
  <c r="V48" i="37"/>
  <c r="W48" i="37"/>
  <c r="X48" i="37"/>
  <c r="Y48" i="37"/>
  <c r="Z48" i="37"/>
  <c r="AB48" i="37"/>
  <c r="AC48" i="37"/>
  <c r="AD48" i="37"/>
  <c r="AE48" i="37"/>
  <c r="AF48" i="37"/>
  <c r="AG48" i="37"/>
  <c r="AH48" i="37"/>
  <c r="AI48" i="37"/>
  <c r="AJ48" i="37"/>
  <c r="AK48" i="37"/>
  <c r="AL48" i="37"/>
  <c r="AM48" i="37"/>
  <c r="AN48" i="37"/>
  <c r="AO48" i="37"/>
  <c r="AP48" i="37"/>
  <c r="AQ48" i="37"/>
  <c r="AR48" i="37"/>
  <c r="AS48" i="37"/>
  <c r="AT48" i="37"/>
  <c r="E49" i="37"/>
  <c r="H49" i="37" s="1"/>
  <c r="I49" i="37"/>
  <c r="J49" i="37"/>
  <c r="K49" i="37"/>
  <c r="L49" i="37"/>
  <c r="M49" i="37"/>
  <c r="N49" i="37"/>
  <c r="O49" i="37"/>
  <c r="Q49" i="37"/>
  <c r="R49" i="37"/>
  <c r="S49" i="37"/>
  <c r="T49" i="37"/>
  <c r="U49" i="37"/>
  <c r="V49" i="37"/>
  <c r="W49" i="37"/>
  <c r="Y49" i="37"/>
  <c r="Z49" i="37"/>
  <c r="AC49" i="37"/>
  <c r="AD49" i="37"/>
  <c r="AE49" i="37"/>
  <c r="AF49" i="37"/>
  <c r="AG49" i="37"/>
  <c r="AH49" i="37"/>
  <c r="AI49" i="37"/>
  <c r="AK49" i="37"/>
  <c r="M19" i="36" s="1"/>
  <c r="AL49" i="37"/>
  <c r="AM49" i="37"/>
  <c r="AN49" i="37"/>
  <c r="AO49" i="37"/>
  <c r="Q19" i="36" s="1"/>
  <c r="AP49" i="37"/>
  <c r="AQ49" i="37"/>
  <c r="AS49" i="37"/>
  <c r="AT49" i="37"/>
  <c r="E50" i="37"/>
  <c r="H50" i="37"/>
  <c r="I50" i="37"/>
  <c r="J50" i="37"/>
  <c r="K50" i="37"/>
  <c r="L50" i="37"/>
  <c r="M50" i="37"/>
  <c r="N50" i="37"/>
  <c r="O50" i="37"/>
  <c r="P50" i="37"/>
  <c r="Q50" i="37"/>
  <c r="R50" i="37"/>
  <c r="S50" i="37"/>
  <c r="T50" i="37"/>
  <c r="U50" i="37"/>
  <c r="V50" i="37"/>
  <c r="W50" i="37"/>
  <c r="X50" i="37"/>
  <c r="Y50" i="37"/>
  <c r="Z50" i="37"/>
  <c r="AB50" i="37"/>
  <c r="AC50" i="37"/>
  <c r="AD50" i="37"/>
  <c r="AE50" i="37"/>
  <c r="AF50" i="37"/>
  <c r="AG50" i="37"/>
  <c r="AH50" i="37"/>
  <c r="AI50" i="37"/>
  <c r="AJ50" i="37"/>
  <c r="AK50" i="37"/>
  <c r="AL50" i="37"/>
  <c r="AM50" i="37"/>
  <c r="AN50" i="37"/>
  <c r="AO50" i="37"/>
  <c r="AP50" i="37"/>
  <c r="AQ50" i="37"/>
  <c r="AR50" i="37"/>
  <c r="AS50" i="37"/>
  <c r="AT50" i="37"/>
  <c r="H51" i="37"/>
  <c r="I51" i="37"/>
  <c r="J51" i="37"/>
  <c r="K51" i="37"/>
  <c r="L51" i="37"/>
  <c r="AF51" i="37" s="1"/>
  <c r="M51" i="37"/>
  <c r="N51" i="37"/>
  <c r="O51" i="37"/>
  <c r="P51" i="37"/>
  <c r="AJ51" i="37" s="1"/>
  <c r="Q51" i="37"/>
  <c r="R51" i="37"/>
  <c r="S51" i="37"/>
  <c r="T51" i="37"/>
  <c r="AN51" i="37" s="1"/>
  <c r="U51" i="37"/>
  <c r="V51" i="37"/>
  <c r="W51" i="37"/>
  <c r="X51" i="37"/>
  <c r="AR51" i="37" s="1"/>
  <c r="Y51" i="37"/>
  <c r="Z51" i="37"/>
  <c r="AC51" i="37"/>
  <c r="AD51" i="37"/>
  <c r="AE51" i="37"/>
  <c r="AG51" i="37"/>
  <c r="I21" i="36" s="1"/>
  <c r="AH51" i="37"/>
  <c r="AI51" i="37"/>
  <c r="AK51" i="37"/>
  <c r="AL51" i="37"/>
  <c r="AM51" i="37"/>
  <c r="AO51" i="37"/>
  <c r="Q21" i="36" s="1"/>
  <c r="AP51" i="37"/>
  <c r="AQ51" i="37"/>
  <c r="AS51" i="37"/>
  <c r="AT51" i="37"/>
  <c r="E52" i="37"/>
  <c r="V52" i="37" s="1"/>
  <c r="AP52" i="37" s="1"/>
  <c r="I52" i="37"/>
  <c r="AC52" i="37" s="1"/>
  <c r="E22" i="36" s="1"/>
  <c r="J52" i="37"/>
  <c r="K52" i="37"/>
  <c r="L52" i="37"/>
  <c r="M52" i="37"/>
  <c r="AG52" i="37" s="1"/>
  <c r="I22" i="36" s="1"/>
  <c r="N52" i="37"/>
  <c r="O52" i="37"/>
  <c r="Q52" i="37"/>
  <c r="AK52" i="37" s="1"/>
  <c r="R52" i="37"/>
  <c r="S52" i="37"/>
  <c r="T52" i="37"/>
  <c r="U52" i="37"/>
  <c r="AO52" i="37" s="1"/>
  <c r="W52" i="37"/>
  <c r="AQ52" i="37" s="1"/>
  <c r="S22" i="36" s="1"/>
  <c r="X52" i="37"/>
  <c r="Y52" i="37"/>
  <c r="Z52" i="37"/>
  <c r="AD52" i="37"/>
  <c r="AE52" i="37"/>
  <c r="G22" i="36" s="1"/>
  <c r="AF52" i="37"/>
  <c r="AH52" i="37"/>
  <c r="AI52" i="37"/>
  <c r="AL52" i="37"/>
  <c r="AM52" i="37"/>
  <c r="AN52" i="37"/>
  <c r="AR52" i="37"/>
  <c r="AS52" i="37"/>
  <c r="AT52" i="37"/>
  <c r="E53" i="37"/>
  <c r="G53" i="37"/>
  <c r="J53" i="37"/>
  <c r="AD53" i="37" s="1"/>
  <c r="L53" i="37"/>
  <c r="M53" i="37"/>
  <c r="N53" i="37"/>
  <c r="O53" i="37"/>
  <c r="Q53" i="37"/>
  <c r="R53" i="37"/>
  <c r="T53" i="37"/>
  <c r="U53" i="37"/>
  <c r="W53" i="37"/>
  <c r="AQ53" i="37" s="1"/>
  <c r="Y53" i="37"/>
  <c r="AS53" i="37" s="1"/>
  <c r="Z53" i="37"/>
  <c r="AH53" i="37"/>
  <c r="AI53" i="37"/>
  <c r="AK53" i="37"/>
  <c r="AO53" i="37"/>
  <c r="AT53" i="37"/>
  <c r="E54" i="37"/>
  <c r="G54" i="37"/>
  <c r="H54" i="37"/>
  <c r="I54" i="37"/>
  <c r="J54" i="37"/>
  <c r="K54" i="37"/>
  <c r="AE54" i="37" s="1"/>
  <c r="G24" i="36" s="1"/>
  <c r="L54" i="37"/>
  <c r="M54" i="37"/>
  <c r="N54" i="37"/>
  <c r="O54" i="37"/>
  <c r="AI54" i="37" s="1"/>
  <c r="K24" i="36" s="1"/>
  <c r="P54" i="37"/>
  <c r="Q54" i="37"/>
  <c r="AK54" i="37" s="1"/>
  <c r="M24" i="36" s="1"/>
  <c r="R54" i="37"/>
  <c r="S54" i="37"/>
  <c r="AM54" i="37" s="1"/>
  <c r="O24" i="36" s="1"/>
  <c r="T54" i="37"/>
  <c r="U54" i="37"/>
  <c r="AO54" i="37" s="1"/>
  <c r="Q24" i="36" s="1"/>
  <c r="V54" i="37"/>
  <c r="W54" i="37"/>
  <c r="AQ54" i="37" s="1"/>
  <c r="S24" i="36" s="1"/>
  <c r="X54" i="37"/>
  <c r="Y54" i="37"/>
  <c r="AS54" i="37" s="1"/>
  <c r="U24" i="36" s="1"/>
  <c r="Z54" i="37"/>
  <c r="AG54" i="37"/>
  <c r="I24" i="36" s="1"/>
  <c r="AN54" i="37"/>
  <c r="E55" i="37"/>
  <c r="V55" i="37" s="1"/>
  <c r="AP55" i="37" s="1"/>
  <c r="R25" i="36" s="1"/>
  <c r="J55" i="37"/>
  <c r="AD55" i="37" s="1"/>
  <c r="F25" i="36" s="1"/>
  <c r="L55" i="37"/>
  <c r="AF55" i="37" s="1"/>
  <c r="M55" i="37"/>
  <c r="N55" i="37"/>
  <c r="O55" i="37"/>
  <c r="Q55" i="37"/>
  <c r="R55" i="37"/>
  <c r="T55" i="37"/>
  <c r="AN55" i="37" s="1"/>
  <c r="P25" i="36" s="1"/>
  <c r="U55" i="37"/>
  <c r="W55" i="37"/>
  <c r="X55" i="37"/>
  <c r="AR55" i="37" s="1"/>
  <c r="T25" i="36" s="1"/>
  <c r="Y55" i="37"/>
  <c r="Z55" i="37"/>
  <c r="AT55" i="37" s="1"/>
  <c r="V25" i="36" s="1"/>
  <c r="AG55" i="37"/>
  <c r="AH55" i="37"/>
  <c r="AI55" i="37"/>
  <c r="AK55" i="37"/>
  <c r="AL55" i="37"/>
  <c r="N25" i="36" s="1"/>
  <c r="AO55" i="37"/>
  <c r="AQ55" i="37"/>
  <c r="AS55" i="37"/>
  <c r="H56" i="37"/>
  <c r="I56" i="37"/>
  <c r="J56" i="37"/>
  <c r="K56" i="37"/>
  <c r="L56" i="37"/>
  <c r="M56" i="37"/>
  <c r="N56" i="37"/>
  <c r="O56" i="37"/>
  <c r="P56" i="37"/>
  <c r="Q56" i="37"/>
  <c r="R56" i="37"/>
  <c r="S56" i="37"/>
  <c r="T56" i="37"/>
  <c r="U56" i="37"/>
  <c r="V56" i="37"/>
  <c r="W56" i="37"/>
  <c r="X56" i="37"/>
  <c r="Y56" i="37"/>
  <c r="Z56" i="37"/>
  <c r="AB56" i="37"/>
  <c r="AC56" i="37"/>
  <c r="AD56" i="37"/>
  <c r="AE56" i="37"/>
  <c r="AF56" i="37"/>
  <c r="AG56" i="37"/>
  <c r="AH56" i="37"/>
  <c r="J26" i="36" s="1"/>
  <c r="AI56" i="37"/>
  <c r="AJ56" i="37"/>
  <c r="AK56" i="37"/>
  <c r="AL56" i="37"/>
  <c r="N26" i="36" s="1"/>
  <c r="AM56" i="37"/>
  <c r="AN56" i="37"/>
  <c r="AO56" i="37"/>
  <c r="AP56" i="37"/>
  <c r="R26" i="36" s="1"/>
  <c r="AQ56" i="37"/>
  <c r="AR56" i="37"/>
  <c r="AS56" i="37"/>
  <c r="AT56" i="37"/>
  <c r="V26" i="36" s="1"/>
  <c r="H57" i="37"/>
  <c r="I57" i="37"/>
  <c r="J57" i="37"/>
  <c r="K57" i="37"/>
  <c r="L57" i="37"/>
  <c r="M57" i="37"/>
  <c r="N57" i="37"/>
  <c r="O57" i="37"/>
  <c r="P57" i="37"/>
  <c r="Q57" i="37"/>
  <c r="R57" i="37"/>
  <c r="S57" i="37"/>
  <c r="T57" i="37"/>
  <c r="U57" i="37"/>
  <c r="V57" i="37"/>
  <c r="W57" i="37"/>
  <c r="X57" i="37"/>
  <c r="Y57" i="37"/>
  <c r="Z57" i="37"/>
  <c r="AB57" i="37"/>
  <c r="AC57" i="37"/>
  <c r="AD57" i="37"/>
  <c r="AE57" i="37"/>
  <c r="AF57" i="37"/>
  <c r="AG57" i="37"/>
  <c r="AH57" i="37"/>
  <c r="J27" i="36" s="1"/>
  <c r="AI57" i="37"/>
  <c r="AJ57" i="37"/>
  <c r="AK57" i="37"/>
  <c r="AL57" i="37"/>
  <c r="N27" i="36" s="1"/>
  <c r="AM57" i="37"/>
  <c r="AN57" i="37"/>
  <c r="AO57" i="37"/>
  <c r="AP57" i="37"/>
  <c r="R27" i="36" s="1"/>
  <c r="AQ57" i="37"/>
  <c r="AR57" i="37"/>
  <c r="AS57" i="37"/>
  <c r="AT57" i="37"/>
  <c r="V27" i="36" s="1"/>
  <c r="E58" i="37"/>
  <c r="I58" i="37"/>
  <c r="J58" i="37"/>
  <c r="AD58" i="37" s="1"/>
  <c r="K58" i="37"/>
  <c r="AE58" i="37" s="1"/>
  <c r="L58" i="37"/>
  <c r="M58" i="37"/>
  <c r="N58" i="37"/>
  <c r="O58" i="37"/>
  <c r="AI58" i="37" s="1"/>
  <c r="Q58" i="37"/>
  <c r="R58" i="37"/>
  <c r="S58" i="37"/>
  <c r="AM58" i="37" s="1"/>
  <c r="T58" i="37"/>
  <c r="U58" i="37"/>
  <c r="V58" i="37"/>
  <c r="W58" i="37"/>
  <c r="AQ58" i="37" s="1"/>
  <c r="Y58" i="37"/>
  <c r="AS58" i="37" s="1"/>
  <c r="Z58" i="37"/>
  <c r="AC58" i="37"/>
  <c r="AF58" i="37"/>
  <c r="AG58" i="37"/>
  <c r="AH58" i="37"/>
  <c r="AK58" i="37"/>
  <c r="AL58" i="37"/>
  <c r="AN58" i="37"/>
  <c r="AO58" i="37"/>
  <c r="AP58" i="37"/>
  <c r="R28" i="36" s="1"/>
  <c r="AT58" i="37"/>
  <c r="E59" i="37"/>
  <c r="H59" i="37"/>
  <c r="I59" i="37"/>
  <c r="AC59" i="37" s="1"/>
  <c r="J59" i="37"/>
  <c r="AD59" i="37" s="1"/>
  <c r="K59" i="37"/>
  <c r="L59" i="37"/>
  <c r="M59" i="37"/>
  <c r="AG59" i="37" s="1"/>
  <c r="N59" i="37"/>
  <c r="O59" i="37"/>
  <c r="P59" i="37"/>
  <c r="Q59" i="37"/>
  <c r="AK59" i="37" s="1"/>
  <c r="R59" i="37"/>
  <c r="S59" i="37"/>
  <c r="T59" i="37"/>
  <c r="U59" i="37"/>
  <c r="AO59" i="37" s="1"/>
  <c r="V59" i="37"/>
  <c r="W59" i="37"/>
  <c r="X59" i="37"/>
  <c r="Y59" i="37"/>
  <c r="AS59" i="37" s="1"/>
  <c r="Z59" i="37"/>
  <c r="AB59" i="37"/>
  <c r="AE59" i="37"/>
  <c r="AF59" i="37"/>
  <c r="AH59" i="37"/>
  <c r="AI59" i="37"/>
  <c r="AJ59" i="37"/>
  <c r="AL59" i="37"/>
  <c r="AM59" i="37"/>
  <c r="AN59" i="37"/>
  <c r="AP59" i="37"/>
  <c r="AQ59" i="37"/>
  <c r="AR59" i="37"/>
  <c r="AT59" i="37"/>
  <c r="V29" i="36" s="1"/>
  <c r="E60" i="37"/>
  <c r="V60" i="37" s="1"/>
  <c r="AP60" i="37" s="1"/>
  <c r="H60" i="37"/>
  <c r="J60" i="37"/>
  <c r="K60" i="37"/>
  <c r="L60" i="37"/>
  <c r="AF60" i="37" s="1"/>
  <c r="M60" i="37"/>
  <c r="N60" i="37"/>
  <c r="O60" i="37"/>
  <c r="P60" i="37"/>
  <c r="AJ60" i="37" s="1"/>
  <c r="Q60" i="37"/>
  <c r="R60" i="37"/>
  <c r="S60" i="37"/>
  <c r="T60" i="37"/>
  <c r="AN60" i="37" s="1"/>
  <c r="U60" i="37"/>
  <c r="W60" i="37"/>
  <c r="AQ60" i="37" s="1"/>
  <c r="X60" i="37"/>
  <c r="Y60" i="37"/>
  <c r="AS60" i="37" s="1"/>
  <c r="Z60" i="37"/>
  <c r="AD60" i="37"/>
  <c r="AE60" i="37"/>
  <c r="AG60" i="37"/>
  <c r="AH60" i="37"/>
  <c r="AI60" i="37"/>
  <c r="AK60" i="37"/>
  <c r="AL60" i="37"/>
  <c r="AM60" i="37"/>
  <c r="AO60" i="37"/>
  <c r="AR60" i="37"/>
  <c r="T30" i="36" s="1"/>
  <c r="AT60" i="37"/>
  <c r="E61" i="37"/>
  <c r="J61" i="37"/>
  <c r="AD61" i="37" s="1"/>
  <c r="L61" i="37"/>
  <c r="AF61" i="37" s="1"/>
  <c r="H31" i="36" s="1"/>
  <c r="M61" i="37"/>
  <c r="N61" i="37"/>
  <c r="AH61" i="37" s="1"/>
  <c r="J31" i="36" s="1"/>
  <c r="O61" i="37"/>
  <c r="P61" i="37"/>
  <c r="AJ61" i="37" s="1"/>
  <c r="L31" i="36" s="1"/>
  <c r="Q61" i="37"/>
  <c r="R61" i="37"/>
  <c r="AL61" i="37" s="1"/>
  <c r="N31" i="36" s="1"/>
  <c r="T61" i="37"/>
  <c r="AN61" i="37" s="1"/>
  <c r="U61" i="37"/>
  <c r="W61" i="37"/>
  <c r="Y61" i="37"/>
  <c r="Z61" i="37"/>
  <c r="AT61" i="37" s="1"/>
  <c r="AG61" i="37"/>
  <c r="AI61" i="37"/>
  <c r="AK61" i="37"/>
  <c r="AO61" i="37"/>
  <c r="AQ61" i="37"/>
  <c r="AS61" i="37"/>
  <c r="E62" i="37"/>
  <c r="H62" i="37"/>
  <c r="I62" i="37"/>
  <c r="J62" i="37"/>
  <c r="K62" i="37"/>
  <c r="L62" i="37"/>
  <c r="M62" i="37"/>
  <c r="N62" i="37"/>
  <c r="O62" i="37"/>
  <c r="P62" i="37"/>
  <c r="Q62" i="37"/>
  <c r="R62" i="37"/>
  <c r="S62" i="37"/>
  <c r="T62" i="37"/>
  <c r="U62" i="37"/>
  <c r="V62" i="37"/>
  <c r="W62" i="37"/>
  <c r="X62" i="37"/>
  <c r="Y62" i="37"/>
  <c r="Z62" i="37"/>
  <c r="AB62" i="37"/>
  <c r="AC62" i="37"/>
  <c r="AD62" i="37"/>
  <c r="F32" i="36" s="1"/>
  <c r="AE62" i="37"/>
  <c r="AF62" i="37"/>
  <c r="H32" i="36" s="1"/>
  <c r="AG62" i="37"/>
  <c r="AH62" i="37"/>
  <c r="J32" i="36" s="1"/>
  <c r="AI62" i="37"/>
  <c r="AJ62" i="37"/>
  <c r="L32" i="36" s="1"/>
  <c r="AK62" i="37"/>
  <c r="AL62" i="37"/>
  <c r="N32" i="36" s="1"/>
  <c r="AM62" i="37"/>
  <c r="AN62" i="37"/>
  <c r="P32" i="36" s="1"/>
  <c r="AO62" i="37"/>
  <c r="AP62" i="37"/>
  <c r="R32" i="36" s="1"/>
  <c r="AQ62" i="37"/>
  <c r="AR62" i="37"/>
  <c r="T32" i="36" s="1"/>
  <c r="AS62" i="37"/>
  <c r="AT62" i="37"/>
  <c r="V32" i="36" s="1"/>
  <c r="AU64" i="37"/>
  <c r="C83" i="37"/>
  <c r="D83" i="37"/>
  <c r="C85" i="37"/>
  <c r="D85" i="37"/>
  <c r="C86" i="37"/>
  <c r="D86" i="37"/>
  <c r="C87" i="37"/>
  <c r="D87" i="37"/>
  <c r="C88" i="37"/>
  <c r="D88" i="37"/>
  <c r="D89" i="37"/>
  <c r="E89" i="37"/>
  <c r="F89" i="37"/>
  <c r="D95" i="37"/>
  <c r="E95" i="37"/>
  <c r="C99" i="37"/>
  <c r="C104" i="37"/>
  <c r="D105" i="37" s="1"/>
  <c r="D98" i="37" s="1"/>
  <c r="E98" i="37" s="1"/>
  <c r="I108" i="37"/>
  <c r="F114" i="37"/>
  <c r="F126" i="37" s="1"/>
  <c r="H114" i="37"/>
  <c r="K114" i="37"/>
  <c r="L114" i="37"/>
  <c r="M114" i="37"/>
  <c r="N114" i="37"/>
  <c r="O114" i="37"/>
  <c r="P114" i="37"/>
  <c r="Q114" i="37"/>
  <c r="R114" i="37"/>
  <c r="S114" i="37"/>
  <c r="T114" i="37"/>
  <c r="U114" i="37"/>
  <c r="V114" i="37"/>
  <c r="D120" i="37"/>
  <c r="E120" i="37"/>
  <c r="F120" i="37"/>
  <c r="G120" i="37"/>
  <c r="H120" i="37"/>
  <c r="I120" i="37"/>
  <c r="J120" i="37"/>
  <c r="K120" i="37"/>
  <c r="L120" i="37"/>
  <c r="M120" i="37"/>
  <c r="N120" i="37"/>
  <c r="O120" i="37"/>
  <c r="P120" i="37"/>
  <c r="Q120" i="37"/>
  <c r="R120" i="37"/>
  <c r="S120" i="37"/>
  <c r="T120" i="37"/>
  <c r="U120" i="37"/>
  <c r="V120" i="37"/>
  <c r="W120" i="37"/>
  <c r="D126" i="37"/>
  <c r="D121" i="37" s="1"/>
  <c r="D36" i="36" s="1"/>
  <c r="E126" i="37"/>
  <c r="E121" i="37" s="1"/>
  <c r="E36" i="36" s="1"/>
  <c r="G126" i="37"/>
  <c r="H126" i="37"/>
  <c r="H121" i="37" s="1"/>
  <c r="K126" i="37"/>
  <c r="K121" i="37" s="1"/>
  <c r="L126" i="37"/>
  <c r="L121" i="37" s="1"/>
  <c r="M126" i="37"/>
  <c r="M121" i="37" s="1"/>
  <c r="M36" i="36" s="1"/>
  <c r="N126" i="37"/>
  <c r="N121" i="37" s="1"/>
  <c r="N36" i="36" s="1"/>
  <c r="O126" i="37"/>
  <c r="O122" i="37" s="1"/>
  <c r="P126" i="37"/>
  <c r="P121" i="37" s="1"/>
  <c r="P36" i="36" s="1"/>
  <c r="Q126" i="37"/>
  <c r="Q121" i="37" s="1"/>
  <c r="Q36" i="36" s="1"/>
  <c r="R126" i="37"/>
  <c r="R121" i="37" s="1"/>
  <c r="R36" i="36" s="1"/>
  <c r="S126" i="37"/>
  <c r="S121" i="37" s="1"/>
  <c r="T126" i="37"/>
  <c r="T121" i="37" s="1"/>
  <c r="U126" i="37"/>
  <c r="U121" i="37" s="1"/>
  <c r="U36" i="36" s="1"/>
  <c r="V126" i="37"/>
  <c r="V121" i="37" s="1"/>
  <c r="V36" i="36" s="1"/>
  <c r="E127" i="37"/>
  <c r="F127" i="37"/>
  <c r="G127" i="37"/>
  <c r="H127" i="37"/>
  <c r="I127" i="37"/>
  <c r="J127" i="37"/>
  <c r="K127" i="37"/>
  <c r="M127" i="37"/>
  <c r="N127" i="37"/>
  <c r="O127" i="37"/>
  <c r="P127" i="37"/>
  <c r="Q127" i="37"/>
  <c r="S127" i="37"/>
  <c r="U127" i="37"/>
  <c r="V127" i="37"/>
  <c r="E133" i="37"/>
  <c r="E129" i="37" s="1"/>
  <c r="E44" i="36" s="1"/>
  <c r="F133" i="37"/>
  <c r="F128" i="37" s="1"/>
  <c r="G133" i="37"/>
  <c r="G128" i="37" s="1"/>
  <c r="H133" i="37"/>
  <c r="H128" i="37" s="1"/>
  <c r="I133" i="37"/>
  <c r="I128" i="37" s="1"/>
  <c r="I43" i="36" s="1"/>
  <c r="J133" i="37"/>
  <c r="J128" i="37" s="1"/>
  <c r="J43" i="36" s="1"/>
  <c r="K133" i="37"/>
  <c r="K128" i="37" s="1"/>
  <c r="K43" i="36" s="1"/>
  <c r="M133" i="37"/>
  <c r="M129" i="37" s="1"/>
  <c r="M44" i="36" s="1"/>
  <c r="N133" i="37"/>
  <c r="N128" i="37" s="1"/>
  <c r="O133" i="37"/>
  <c r="O129" i="37" s="1"/>
  <c r="P133" i="37"/>
  <c r="P128" i="37" s="1"/>
  <c r="Q133" i="37"/>
  <c r="Q128" i="37" s="1"/>
  <c r="Q43" i="36" s="1"/>
  <c r="S133" i="37"/>
  <c r="S128" i="37" s="1"/>
  <c r="S43" i="36" s="1"/>
  <c r="U133" i="37"/>
  <c r="U129" i="37" s="1"/>
  <c r="U44" i="36" s="1"/>
  <c r="V133" i="37"/>
  <c r="V128" i="37" s="1"/>
  <c r="D134" i="37"/>
  <c r="E134" i="37"/>
  <c r="F134" i="37"/>
  <c r="G134" i="37"/>
  <c r="H134" i="37"/>
  <c r="I134" i="37"/>
  <c r="I140" i="37" s="1"/>
  <c r="J134" i="37"/>
  <c r="K134" i="37"/>
  <c r="L134" i="37"/>
  <c r="M134" i="37"/>
  <c r="M140" i="37" s="1"/>
  <c r="N134" i="37"/>
  <c r="O134" i="37"/>
  <c r="P134" i="37"/>
  <c r="Q134" i="37"/>
  <c r="Q140" i="37" s="1"/>
  <c r="R134" i="37"/>
  <c r="S134" i="37"/>
  <c r="T134" i="37"/>
  <c r="U134" i="37"/>
  <c r="U140" i="37" s="1"/>
  <c r="V134" i="37"/>
  <c r="D140" i="37"/>
  <c r="D135" i="37" s="1"/>
  <c r="F140" i="37"/>
  <c r="F135" i="37" s="1"/>
  <c r="G140" i="37"/>
  <c r="G135" i="37" s="1"/>
  <c r="H140" i="37"/>
  <c r="H135" i="37" s="1"/>
  <c r="J140" i="37"/>
  <c r="J135" i="37" s="1"/>
  <c r="K140" i="37"/>
  <c r="K136" i="37" s="1"/>
  <c r="L140" i="37"/>
  <c r="L135" i="37" s="1"/>
  <c r="N140" i="37"/>
  <c r="N135" i="37" s="1"/>
  <c r="O140" i="37"/>
  <c r="O135" i="37" s="1"/>
  <c r="P140" i="37"/>
  <c r="P135" i="37" s="1"/>
  <c r="R140" i="37"/>
  <c r="R135" i="37" s="1"/>
  <c r="S140" i="37"/>
  <c r="S136" i="37" s="1"/>
  <c r="T140" i="37"/>
  <c r="T135" i="37" s="1"/>
  <c r="V140" i="37"/>
  <c r="V135" i="37" s="1"/>
  <c r="D141" i="37"/>
  <c r="E141" i="37"/>
  <c r="F141" i="37"/>
  <c r="G141" i="37"/>
  <c r="G147" i="37" s="1"/>
  <c r="G142" i="37" s="1"/>
  <c r="H141" i="37"/>
  <c r="I141" i="37"/>
  <c r="J141" i="37"/>
  <c r="K141" i="37"/>
  <c r="K147" i="37" s="1"/>
  <c r="K142" i="37" s="1"/>
  <c r="K57" i="36" s="1"/>
  <c r="L141" i="37"/>
  <c r="M141" i="37"/>
  <c r="N141" i="37"/>
  <c r="O141" i="37"/>
  <c r="O147" i="37" s="1"/>
  <c r="O142" i="37" s="1"/>
  <c r="O57" i="36" s="1"/>
  <c r="P141" i="37"/>
  <c r="Q141" i="37"/>
  <c r="R141" i="37"/>
  <c r="S141" i="37"/>
  <c r="S147" i="37" s="1"/>
  <c r="S142" i="37" s="1"/>
  <c r="S57" i="36" s="1"/>
  <c r="T141" i="37"/>
  <c r="U141" i="37"/>
  <c r="V141" i="37"/>
  <c r="W141" i="37"/>
  <c r="D96" i="37" s="1"/>
  <c r="E96" i="37" s="1"/>
  <c r="D143" i="37"/>
  <c r="E143" i="37"/>
  <c r="F143" i="37"/>
  <c r="G143" i="37"/>
  <c r="H143" i="37"/>
  <c r="I143" i="37"/>
  <c r="J143" i="37"/>
  <c r="K143" i="37"/>
  <c r="L143" i="37"/>
  <c r="M143" i="37"/>
  <c r="N143" i="37"/>
  <c r="O143" i="37"/>
  <c r="P143" i="37"/>
  <c r="Q143" i="37"/>
  <c r="R143" i="37"/>
  <c r="S143" i="37"/>
  <c r="T143" i="37"/>
  <c r="U143" i="37"/>
  <c r="V143" i="37"/>
  <c r="D144" i="37"/>
  <c r="E144" i="37"/>
  <c r="F144" i="37"/>
  <c r="G144" i="37"/>
  <c r="H144" i="37"/>
  <c r="I144" i="37"/>
  <c r="J144" i="37"/>
  <c r="K144" i="37"/>
  <c r="L144" i="37"/>
  <c r="M144" i="37"/>
  <c r="N144" i="37"/>
  <c r="O144" i="37"/>
  <c r="P144" i="37"/>
  <c r="Q144" i="37"/>
  <c r="R144" i="37"/>
  <c r="S144" i="37"/>
  <c r="T144" i="37"/>
  <c r="U144" i="37"/>
  <c r="V144" i="37"/>
  <c r="D145" i="37"/>
  <c r="E145" i="37"/>
  <c r="F145" i="37"/>
  <c r="G145" i="37"/>
  <c r="H145" i="37"/>
  <c r="I145" i="37"/>
  <c r="J145" i="37"/>
  <c r="K145" i="37"/>
  <c r="L145" i="37"/>
  <c r="M145" i="37"/>
  <c r="N145" i="37"/>
  <c r="O145" i="37"/>
  <c r="P145" i="37"/>
  <c r="Q145" i="37"/>
  <c r="R145" i="37"/>
  <c r="S145" i="37"/>
  <c r="T145" i="37"/>
  <c r="U145" i="37"/>
  <c r="V145" i="37"/>
  <c r="D146" i="37"/>
  <c r="E146" i="37"/>
  <c r="F146" i="37"/>
  <c r="G146" i="37"/>
  <c r="H146" i="37"/>
  <c r="I146" i="37"/>
  <c r="J146" i="37"/>
  <c r="K146" i="37"/>
  <c r="L146" i="37"/>
  <c r="M146" i="37"/>
  <c r="N146" i="37"/>
  <c r="O146" i="37"/>
  <c r="P146" i="37"/>
  <c r="Q146" i="37"/>
  <c r="R146" i="37"/>
  <c r="S146" i="37"/>
  <c r="T146" i="37"/>
  <c r="U146" i="37"/>
  <c r="V146" i="37"/>
  <c r="D147" i="37"/>
  <c r="D142" i="37" s="1"/>
  <c r="E147" i="37"/>
  <c r="E142" i="37" s="1"/>
  <c r="F147" i="37"/>
  <c r="F142" i="37" s="1"/>
  <c r="H147" i="37"/>
  <c r="H142" i="37" s="1"/>
  <c r="I147" i="37"/>
  <c r="I142" i="37" s="1"/>
  <c r="I57" i="36" s="1"/>
  <c r="J147" i="37"/>
  <c r="J142" i="37" s="1"/>
  <c r="L147" i="37"/>
  <c r="L142" i="37" s="1"/>
  <c r="M147" i="37"/>
  <c r="M142" i="37" s="1"/>
  <c r="M57" i="36" s="1"/>
  <c r="N147" i="37"/>
  <c r="N142" i="37" s="1"/>
  <c r="P147" i="37"/>
  <c r="P142" i="37" s="1"/>
  <c r="Q147" i="37"/>
  <c r="Q142" i="37" s="1"/>
  <c r="Q57" i="36" s="1"/>
  <c r="R147" i="37"/>
  <c r="R142" i="37" s="1"/>
  <c r="T147" i="37"/>
  <c r="T142" i="37" s="1"/>
  <c r="U147" i="37"/>
  <c r="U142" i="37" s="1"/>
  <c r="U57" i="36" s="1"/>
  <c r="V147" i="37"/>
  <c r="V142" i="37" s="1"/>
  <c r="F5" i="36"/>
  <c r="G5" i="36"/>
  <c r="H5" i="36"/>
  <c r="J5" i="36"/>
  <c r="K5" i="36"/>
  <c r="L5" i="36"/>
  <c r="M5" i="36"/>
  <c r="N5" i="36"/>
  <c r="O5" i="36"/>
  <c r="P5" i="36"/>
  <c r="R5" i="36"/>
  <c r="S5" i="36"/>
  <c r="T5" i="36"/>
  <c r="V5" i="36"/>
  <c r="D6" i="36"/>
  <c r="E6" i="36"/>
  <c r="F6" i="36"/>
  <c r="G6" i="36"/>
  <c r="H6" i="36"/>
  <c r="I6" i="36"/>
  <c r="J6" i="36"/>
  <c r="K6" i="36"/>
  <c r="L6" i="36"/>
  <c r="M6" i="36"/>
  <c r="N6" i="36"/>
  <c r="O6" i="36"/>
  <c r="P6" i="36"/>
  <c r="Q6" i="36"/>
  <c r="R6" i="36"/>
  <c r="S6" i="36"/>
  <c r="T6" i="36"/>
  <c r="U6" i="36"/>
  <c r="V6" i="36"/>
  <c r="E7" i="36"/>
  <c r="F7" i="36"/>
  <c r="G7" i="36"/>
  <c r="H7" i="36"/>
  <c r="I7" i="36"/>
  <c r="J7" i="36"/>
  <c r="K7" i="36"/>
  <c r="L7" i="36"/>
  <c r="M7" i="36"/>
  <c r="N7" i="36"/>
  <c r="O7" i="36"/>
  <c r="P7" i="36"/>
  <c r="Q7" i="36"/>
  <c r="R7" i="36"/>
  <c r="S7" i="36"/>
  <c r="T7" i="36"/>
  <c r="U7" i="36"/>
  <c r="V7" i="36"/>
  <c r="D8" i="36"/>
  <c r="E8" i="36"/>
  <c r="F8" i="36"/>
  <c r="G8" i="36"/>
  <c r="H8" i="36"/>
  <c r="I8" i="36"/>
  <c r="J8" i="36"/>
  <c r="K8" i="36"/>
  <c r="L8" i="36"/>
  <c r="M8" i="36"/>
  <c r="N8" i="36"/>
  <c r="O8" i="36"/>
  <c r="P8" i="36"/>
  <c r="Q8" i="36"/>
  <c r="R8" i="36"/>
  <c r="S8" i="36"/>
  <c r="T8" i="36"/>
  <c r="U8" i="36"/>
  <c r="V8" i="36"/>
  <c r="E9" i="36"/>
  <c r="F9" i="36"/>
  <c r="G9" i="36"/>
  <c r="H9" i="36"/>
  <c r="I9" i="36"/>
  <c r="J9" i="36"/>
  <c r="K9" i="36"/>
  <c r="L9" i="36"/>
  <c r="M9" i="36"/>
  <c r="N9" i="36"/>
  <c r="O9" i="36"/>
  <c r="P9" i="36"/>
  <c r="Q9" i="36"/>
  <c r="R9" i="36"/>
  <c r="S9" i="36"/>
  <c r="T9" i="36"/>
  <c r="U9" i="36"/>
  <c r="V9" i="36"/>
  <c r="D10" i="36"/>
  <c r="F10" i="36"/>
  <c r="G10" i="36"/>
  <c r="H10" i="36"/>
  <c r="I10" i="36"/>
  <c r="J10" i="36"/>
  <c r="K10" i="36"/>
  <c r="L10" i="36"/>
  <c r="M10" i="36"/>
  <c r="N10" i="36"/>
  <c r="O10" i="36"/>
  <c r="P10" i="36"/>
  <c r="Q10" i="36"/>
  <c r="S10" i="36"/>
  <c r="T10" i="36"/>
  <c r="U10" i="36"/>
  <c r="V10" i="36"/>
  <c r="F11" i="36"/>
  <c r="H11" i="36"/>
  <c r="I11" i="36"/>
  <c r="J11" i="36"/>
  <c r="K11" i="36"/>
  <c r="M11" i="36"/>
  <c r="N11" i="36"/>
  <c r="O11" i="36"/>
  <c r="P11" i="36"/>
  <c r="Q11" i="36"/>
  <c r="R11" i="36"/>
  <c r="S11" i="36"/>
  <c r="U11" i="36"/>
  <c r="V11" i="36"/>
  <c r="E12" i="36"/>
  <c r="F12" i="36"/>
  <c r="G12" i="36"/>
  <c r="H12" i="36"/>
  <c r="I12" i="36"/>
  <c r="J12" i="36"/>
  <c r="K12" i="36"/>
  <c r="M12" i="36"/>
  <c r="N12" i="36"/>
  <c r="O12" i="36"/>
  <c r="P12" i="36"/>
  <c r="Q12" i="36"/>
  <c r="R12" i="36"/>
  <c r="S12" i="36"/>
  <c r="U12" i="36"/>
  <c r="V12" i="36"/>
  <c r="D13" i="36"/>
  <c r="E13" i="36"/>
  <c r="F13" i="36"/>
  <c r="G13" i="36"/>
  <c r="H13" i="36"/>
  <c r="I13" i="36"/>
  <c r="J13" i="36"/>
  <c r="K13" i="36"/>
  <c r="L13" i="36"/>
  <c r="M13" i="36"/>
  <c r="N13" i="36"/>
  <c r="O13" i="36"/>
  <c r="P13" i="36"/>
  <c r="Q13" i="36"/>
  <c r="R13" i="36"/>
  <c r="S13" i="36"/>
  <c r="T13" i="36"/>
  <c r="U13" i="36"/>
  <c r="V13" i="36"/>
  <c r="F14" i="36"/>
  <c r="G14" i="36"/>
  <c r="H14" i="36"/>
  <c r="J14" i="36"/>
  <c r="K14" i="36"/>
  <c r="L14" i="36"/>
  <c r="M14" i="36"/>
  <c r="N14" i="36"/>
  <c r="O14" i="36"/>
  <c r="P14" i="36"/>
  <c r="R14" i="36"/>
  <c r="S14" i="36"/>
  <c r="T14" i="36"/>
  <c r="V14" i="36"/>
  <c r="D15" i="36"/>
  <c r="F15" i="36"/>
  <c r="G15" i="36"/>
  <c r="H15" i="36"/>
  <c r="I15" i="36"/>
  <c r="J15" i="36"/>
  <c r="K15" i="36"/>
  <c r="L15" i="36"/>
  <c r="M15" i="36"/>
  <c r="N15" i="36"/>
  <c r="O15" i="36"/>
  <c r="P15" i="36"/>
  <c r="Q15" i="36"/>
  <c r="S15" i="36"/>
  <c r="T15" i="36"/>
  <c r="U15" i="36"/>
  <c r="V15" i="36"/>
  <c r="F16" i="36"/>
  <c r="G16" i="36"/>
  <c r="H16" i="36"/>
  <c r="I16" i="36"/>
  <c r="J16" i="36"/>
  <c r="M16" i="36"/>
  <c r="N16" i="36"/>
  <c r="P16" i="36"/>
  <c r="Q16" i="36"/>
  <c r="R16" i="36"/>
  <c r="U16" i="36"/>
  <c r="V16" i="36"/>
  <c r="D17" i="36"/>
  <c r="E17" i="36"/>
  <c r="F17" i="36"/>
  <c r="G17" i="36"/>
  <c r="H17" i="36"/>
  <c r="I17" i="36"/>
  <c r="J17" i="36"/>
  <c r="K17" i="36"/>
  <c r="L17" i="36"/>
  <c r="M17" i="36"/>
  <c r="N17" i="36"/>
  <c r="O17" i="36"/>
  <c r="P17" i="36"/>
  <c r="Q17" i="36"/>
  <c r="R17" i="36"/>
  <c r="S17" i="36"/>
  <c r="T17" i="36"/>
  <c r="U17" i="36"/>
  <c r="V17" i="36"/>
  <c r="D18" i="36"/>
  <c r="E18" i="36"/>
  <c r="F18" i="36"/>
  <c r="G18" i="36"/>
  <c r="H18" i="36"/>
  <c r="I18" i="36"/>
  <c r="J18" i="36"/>
  <c r="K18" i="36"/>
  <c r="L18" i="36"/>
  <c r="M18" i="36"/>
  <c r="N18" i="36"/>
  <c r="O18" i="36"/>
  <c r="P18" i="36"/>
  <c r="Q18" i="36"/>
  <c r="R18" i="36"/>
  <c r="S18" i="36"/>
  <c r="T18" i="36"/>
  <c r="U18" i="36"/>
  <c r="V18" i="36"/>
  <c r="E19" i="36"/>
  <c r="F19" i="36"/>
  <c r="G19" i="36"/>
  <c r="H19" i="36"/>
  <c r="I19" i="36"/>
  <c r="J19" i="36"/>
  <c r="K19" i="36"/>
  <c r="N19" i="36"/>
  <c r="O19" i="36"/>
  <c r="P19" i="36"/>
  <c r="R19" i="36"/>
  <c r="S19" i="36"/>
  <c r="U19" i="36"/>
  <c r="V19" i="36"/>
  <c r="D20" i="36"/>
  <c r="E20" i="36"/>
  <c r="F20" i="36"/>
  <c r="G20" i="36"/>
  <c r="H20" i="36"/>
  <c r="I20" i="36"/>
  <c r="J20" i="36"/>
  <c r="K20" i="36"/>
  <c r="L20" i="36"/>
  <c r="M20" i="36"/>
  <c r="N20" i="36"/>
  <c r="O20" i="36"/>
  <c r="P20" i="36"/>
  <c r="Q20" i="36"/>
  <c r="R20" i="36"/>
  <c r="S20" i="36"/>
  <c r="T20" i="36"/>
  <c r="U20" i="36"/>
  <c r="V20" i="36"/>
  <c r="E21" i="36"/>
  <c r="F21" i="36"/>
  <c r="G21" i="36"/>
  <c r="H21" i="36"/>
  <c r="J21" i="36"/>
  <c r="K21" i="36"/>
  <c r="L21" i="36"/>
  <c r="M21" i="36"/>
  <c r="N21" i="36"/>
  <c r="O21" i="36"/>
  <c r="P21" i="36"/>
  <c r="R21" i="36"/>
  <c r="S21" i="36"/>
  <c r="T21" i="36"/>
  <c r="U21" i="36"/>
  <c r="V21" i="36"/>
  <c r="F22" i="36"/>
  <c r="H22" i="36"/>
  <c r="J22" i="36"/>
  <c r="K22" i="36"/>
  <c r="M22" i="36"/>
  <c r="N22" i="36"/>
  <c r="O22" i="36"/>
  <c r="P22" i="36"/>
  <c r="Q22" i="36"/>
  <c r="R22" i="36"/>
  <c r="T22" i="36"/>
  <c r="U22" i="36"/>
  <c r="V22" i="36"/>
  <c r="F23" i="36"/>
  <c r="J23" i="36"/>
  <c r="K23" i="36"/>
  <c r="M23" i="36"/>
  <c r="Q23" i="36"/>
  <c r="S23" i="36"/>
  <c r="U23" i="36"/>
  <c r="V23" i="36"/>
  <c r="P24" i="36"/>
  <c r="H25" i="36"/>
  <c r="I25" i="36"/>
  <c r="J25" i="36"/>
  <c r="K25" i="36"/>
  <c r="M25" i="36"/>
  <c r="Q25" i="36"/>
  <c r="S25" i="36"/>
  <c r="U25" i="36"/>
  <c r="D26" i="36"/>
  <c r="E26" i="36"/>
  <c r="G26" i="36"/>
  <c r="H26" i="36"/>
  <c r="I26" i="36"/>
  <c r="K26" i="36"/>
  <c r="L26" i="36"/>
  <c r="M26" i="36"/>
  <c r="O26" i="36"/>
  <c r="P26" i="36"/>
  <c r="Q26" i="36"/>
  <c r="S26" i="36"/>
  <c r="T26" i="36"/>
  <c r="U26" i="36"/>
  <c r="D27" i="36"/>
  <c r="E27" i="36"/>
  <c r="G27" i="36"/>
  <c r="H27" i="36"/>
  <c r="I27" i="36"/>
  <c r="K27" i="36"/>
  <c r="L27" i="36"/>
  <c r="M27" i="36"/>
  <c r="O27" i="36"/>
  <c r="P27" i="36"/>
  <c r="Q27" i="36"/>
  <c r="S27" i="36"/>
  <c r="T27" i="36"/>
  <c r="U27" i="36"/>
  <c r="E28" i="36"/>
  <c r="F28" i="36"/>
  <c r="G28" i="36"/>
  <c r="H28" i="36"/>
  <c r="I28" i="36"/>
  <c r="J28" i="36"/>
  <c r="K28" i="36"/>
  <c r="M28" i="36"/>
  <c r="N28" i="36"/>
  <c r="O28" i="36"/>
  <c r="P28" i="36"/>
  <c r="Q28" i="36"/>
  <c r="S28" i="36"/>
  <c r="U28" i="36"/>
  <c r="V28" i="36"/>
  <c r="E29" i="36"/>
  <c r="F29" i="36"/>
  <c r="G29" i="36"/>
  <c r="H29" i="36"/>
  <c r="I29" i="36"/>
  <c r="J29" i="36"/>
  <c r="K29" i="36"/>
  <c r="L29" i="36"/>
  <c r="M29" i="36"/>
  <c r="N29" i="36"/>
  <c r="O29" i="36"/>
  <c r="P29" i="36"/>
  <c r="Q29" i="36"/>
  <c r="R29" i="36"/>
  <c r="S29" i="36"/>
  <c r="T29" i="36"/>
  <c r="U29" i="36"/>
  <c r="F30" i="36"/>
  <c r="G30" i="36"/>
  <c r="H30" i="36"/>
  <c r="I30" i="36"/>
  <c r="J30" i="36"/>
  <c r="K30" i="36"/>
  <c r="L30" i="36"/>
  <c r="M30" i="36"/>
  <c r="N30" i="36"/>
  <c r="O30" i="36"/>
  <c r="P30" i="36"/>
  <c r="Q30" i="36"/>
  <c r="R30" i="36"/>
  <c r="S30" i="36"/>
  <c r="U30" i="36"/>
  <c r="V30" i="36"/>
  <c r="F31" i="36"/>
  <c r="I31" i="36"/>
  <c r="K31" i="36"/>
  <c r="M31" i="36"/>
  <c r="P31" i="36"/>
  <c r="Q31" i="36"/>
  <c r="S31" i="36"/>
  <c r="U31" i="36"/>
  <c r="V31" i="36"/>
  <c r="E32" i="36"/>
  <c r="G32" i="36"/>
  <c r="I32" i="36"/>
  <c r="K32" i="36"/>
  <c r="M32" i="36"/>
  <c r="O32" i="36"/>
  <c r="Q32" i="36"/>
  <c r="S32" i="36"/>
  <c r="U32" i="36"/>
  <c r="D34" i="36"/>
  <c r="E34" i="36"/>
  <c r="F34" i="36"/>
  <c r="G34" i="36"/>
  <c r="H34" i="36"/>
  <c r="I34" i="36"/>
  <c r="J34" i="36"/>
  <c r="K34" i="36"/>
  <c r="L34" i="36"/>
  <c r="M34" i="36"/>
  <c r="N34" i="36"/>
  <c r="O34" i="36"/>
  <c r="P34" i="36"/>
  <c r="Q34" i="36"/>
  <c r="R34" i="36"/>
  <c r="S34" i="36"/>
  <c r="T34" i="36"/>
  <c r="U34" i="36"/>
  <c r="V34" i="36"/>
  <c r="W34" i="36"/>
  <c r="D35" i="36"/>
  <c r="E35" i="36"/>
  <c r="F35" i="36"/>
  <c r="G35" i="36"/>
  <c r="H35" i="36"/>
  <c r="I35" i="36"/>
  <c r="J35" i="36"/>
  <c r="K35" i="36"/>
  <c r="L35" i="36"/>
  <c r="M35" i="36"/>
  <c r="N35" i="36"/>
  <c r="O35" i="36"/>
  <c r="P35" i="36"/>
  <c r="Q35" i="36"/>
  <c r="R35" i="36"/>
  <c r="S35" i="36"/>
  <c r="T35" i="36"/>
  <c r="U35" i="36"/>
  <c r="V35" i="36"/>
  <c r="W35" i="36"/>
  <c r="H36" i="36"/>
  <c r="K36" i="36"/>
  <c r="L36" i="36"/>
  <c r="S36" i="36"/>
  <c r="T36" i="36"/>
  <c r="O37" i="36"/>
  <c r="D41" i="36"/>
  <c r="E41" i="36"/>
  <c r="G41" i="36"/>
  <c r="H41" i="36"/>
  <c r="K41" i="36"/>
  <c r="L41" i="36"/>
  <c r="M41" i="36"/>
  <c r="N41" i="36"/>
  <c r="O41" i="36"/>
  <c r="P41" i="36"/>
  <c r="Q41" i="36"/>
  <c r="R41" i="36"/>
  <c r="S41" i="36"/>
  <c r="T41" i="36"/>
  <c r="U41" i="36"/>
  <c r="V41" i="36"/>
  <c r="E42" i="36"/>
  <c r="F42" i="36"/>
  <c r="G42" i="36"/>
  <c r="H42" i="36"/>
  <c r="I42" i="36"/>
  <c r="J42" i="36"/>
  <c r="K42" i="36"/>
  <c r="M42" i="36"/>
  <c r="N42" i="36"/>
  <c r="O42" i="36"/>
  <c r="P42" i="36"/>
  <c r="Q42" i="36"/>
  <c r="S42" i="36"/>
  <c r="U42" i="36"/>
  <c r="V42" i="36"/>
  <c r="F43" i="36"/>
  <c r="G43" i="36"/>
  <c r="H43" i="36"/>
  <c r="N43" i="36"/>
  <c r="P43" i="36"/>
  <c r="V43" i="36"/>
  <c r="O44" i="36"/>
  <c r="E48" i="36"/>
  <c r="F48" i="36"/>
  <c r="G48" i="36"/>
  <c r="H48" i="36"/>
  <c r="I48" i="36"/>
  <c r="J48" i="36"/>
  <c r="K48" i="36"/>
  <c r="M48" i="36"/>
  <c r="N48" i="36"/>
  <c r="O48" i="36"/>
  <c r="P48" i="36"/>
  <c r="Q48" i="36"/>
  <c r="S48" i="36"/>
  <c r="U48" i="36"/>
  <c r="V48" i="36"/>
  <c r="D49" i="36"/>
  <c r="E49" i="36"/>
  <c r="F49" i="36"/>
  <c r="G49" i="36"/>
  <c r="H49" i="36"/>
  <c r="I49" i="36"/>
  <c r="J49" i="36"/>
  <c r="K49" i="36"/>
  <c r="L49" i="36"/>
  <c r="M49" i="36"/>
  <c r="N49" i="36"/>
  <c r="O49" i="36"/>
  <c r="P49" i="36"/>
  <c r="Q49" i="36"/>
  <c r="R49" i="36"/>
  <c r="S49" i="36"/>
  <c r="T49" i="36"/>
  <c r="U49" i="36"/>
  <c r="V49" i="36"/>
  <c r="D50" i="36"/>
  <c r="F50" i="36"/>
  <c r="G50" i="36"/>
  <c r="H50" i="36"/>
  <c r="J50" i="36"/>
  <c r="L50" i="36"/>
  <c r="N50" i="36"/>
  <c r="O50" i="36"/>
  <c r="P50" i="36"/>
  <c r="R50" i="36"/>
  <c r="T50" i="36"/>
  <c r="V50" i="36"/>
  <c r="K51" i="36"/>
  <c r="S51" i="36"/>
  <c r="D55" i="36"/>
  <c r="F55" i="36"/>
  <c r="G55" i="36"/>
  <c r="H55" i="36"/>
  <c r="J55" i="36"/>
  <c r="K55" i="36"/>
  <c r="L55" i="36"/>
  <c r="N55" i="36"/>
  <c r="O55" i="36"/>
  <c r="P55" i="36"/>
  <c r="R55" i="36"/>
  <c r="S55" i="36"/>
  <c r="T55" i="36"/>
  <c r="V55" i="36"/>
  <c r="D56" i="36"/>
  <c r="E56" i="36"/>
  <c r="F56" i="36"/>
  <c r="G56" i="36"/>
  <c r="H56" i="36"/>
  <c r="I56" i="36"/>
  <c r="J56" i="36"/>
  <c r="K56" i="36"/>
  <c r="L56" i="36"/>
  <c r="M56" i="36"/>
  <c r="N56" i="36"/>
  <c r="O56" i="36"/>
  <c r="P56" i="36"/>
  <c r="Q56" i="36"/>
  <c r="R56" i="36"/>
  <c r="S56" i="36"/>
  <c r="T56" i="36"/>
  <c r="U56" i="36"/>
  <c r="V56" i="36"/>
  <c r="W56" i="36"/>
  <c r="D57" i="36"/>
  <c r="F57" i="36"/>
  <c r="G57" i="36"/>
  <c r="H57" i="36"/>
  <c r="J57" i="36"/>
  <c r="L57" i="36"/>
  <c r="N57" i="36"/>
  <c r="P57" i="36"/>
  <c r="R57" i="36"/>
  <c r="T57" i="36"/>
  <c r="V57" i="36"/>
  <c r="D58" i="36"/>
  <c r="E58" i="36"/>
  <c r="F58" i="36"/>
  <c r="G58" i="36"/>
  <c r="H58" i="36"/>
  <c r="I58" i="36"/>
  <c r="J58" i="36"/>
  <c r="K58" i="36"/>
  <c r="L58" i="36"/>
  <c r="M58" i="36"/>
  <c r="N58" i="36"/>
  <c r="O58" i="36"/>
  <c r="P58" i="36"/>
  <c r="Q58" i="36"/>
  <c r="R58" i="36"/>
  <c r="S58" i="36"/>
  <c r="T58" i="36"/>
  <c r="U58" i="36"/>
  <c r="V58" i="36"/>
  <c r="D59" i="36"/>
  <c r="E59" i="36"/>
  <c r="F59" i="36"/>
  <c r="G59" i="36"/>
  <c r="H59" i="36"/>
  <c r="I59" i="36"/>
  <c r="J59" i="36"/>
  <c r="K59" i="36"/>
  <c r="L59" i="36"/>
  <c r="M59" i="36"/>
  <c r="N59" i="36"/>
  <c r="O59" i="36"/>
  <c r="P59" i="36"/>
  <c r="Q59" i="36"/>
  <c r="R59" i="36"/>
  <c r="S59" i="36"/>
  <c r="T59" i="36"/>
  <c r="U59" i="36"/>
  <c r="V59" i="36"/>
  <c r="D60" i="36"/>
  <c r="E60" i="36"/>
  <c r="F60" i="36"/>
  <c r="G60" i="36"/>
  <c r="H60" i="36"/>
  <c r="I60" i="36"/>
  <c r="J60" i="36"/>
  <c r="K60" i="36"/>
  <c r="L60" i="36"/>
  <c r="M60" i="36"/>
  <c r="N60" i="36"/>
  <c r="O60" i="36"/>
  <c r="P60" i="36"/>
  <c r="Q60" i="36"/>
  <c r="R60" i="36"/>
  <c r="S60" i="36"/>
  <c r="T60" i="36"/>
  <c r="U60" i="36"/>
  <c r="V60" i="36"/>
  <c r="D61" i="36"/>
  <c r="E61" i="36"/>
  <c r="F61" i="36"/>
  <c r="G61" i="36"/>
  <c r="H61" i="36"/>
  <c r="I61" i="36"/>
  <c r="J61" i="36"/>
  <c r="K61" i="36"/>
  <c r="L61" i="36"/>
  <c r="M61" i="36"/>
  <c r="N61" i="36"/>
  <c r="O61" i="36"/>
  <c r="P61" i="36"/>
  <c r="Q61" i="36"/>
  <c r="R61" i="36"/>
  <c r="S61" i="36"/>
  <c r="T61" i="36"/>
  <c r="U61" i="36"/>
  <c r="V61" i="36"/>
  <c r="D62" i="36"/>
  <c r="E62" i="36"/>
  <c r="F62" i="36"/>
  <c r="G62" i="36"/>
  <c r="H62" i="36"/>
  <c r="I62" i="36"/>
  <c r="J62" i="36"/>
  <c r="K62" i="36"/>
  <c r="L62" i="36"/>
  <c r="M62" i="36"/>
  <c r="N62" i="36"/>
  <c r="O62" i="36"/>
  <c r="P62" i="36"/>
  <c r="Q62" i="36"/>
  <c r="R62" i="36"/>
  <c r="S62" i="36"/>
  <c r="T62" i="36"/>
  <c r="U62" i="36"/>
  <c r="V62" i="36"/>
  <c r="D5" i="35"/>
  <c r="E5" i="35"/>
  <c r="F5" i="35"/>
  <c r="G5" i="35"/>
  <c r="H5" i="35"/>
  <c r="I5" i="35"/>
  <c r="J5" i="35"/>
  <c r="K5" i="35"/>
  <c r="L5" i="35"/>
  <c r="M5" i="35"/>
  <c r="N5" i="35"/>
  <c r="O5" i="35"/>
  <c r="P5" i="35"/>
  <c r="Q5" i="35"/>
  <c r="R5" i="35"/>
  <c r="S5" i="35"/>
  <c r="T5" i="35"/>
  <c r="U5" i="35"/>
  <c r="V5" i="35"/>
  <c r="W5" i="35"/>
  <c r="E6" i="35"/>
  <c r="F6" i="35"/>
  <c r="G6" i="35"/>
  <c r="H6" i="35"/>
  <c r="I6" i="35"/>
  <c r="J6" i="35"/>
  <c r="K6" i="35"/>
  <c r="M6" i="35"/>
  <c r="N6" i="35"/>
  <c r="O6" i="35"/>
  <c r="P6" i="35"/>
  <c r="Q6" i="35"/>
  <c r="S6" i="35"/>
  <c r="U6" i="35"/>
  <c r="V6" i="35"/>
  <c r="D7" i="35"/>
  <c r="E7" i="35"/>
  <c r="G7" i="35"/>
  <c r="H7" i="35"/>
  <c r="K7" i="35"/>
  <c r="L7" i="35"/>
  <c r="M7" i="35"/>
  <c r="N7" i="35"/>
  <c r="O7" i="35"/>
  <c r="P7" i="35"/>
  <c r="Q7" i="35"/>
  <c r="R7" i="35"/>
  <c r="S7" i="35"/>
  <c r="T7" i="35"/>
  <c r="U7" i="35"/>
  <c r="V7" i="35"/>
  <c r="D8" i="35"/>
  <c r="E8" i="35"/>
  <c r="F8" i="35"/>
  <c r="H8" i="35"/>
  <c r="I8" i="35"/>
  <c r="J8" i="35"/>
  <c r="L8" i="35"/>
  <c r="M8" i="35"/>
  <c r="N8" i="35"/>
  <c r="P8" i="35"/>
  <c r="Q8" i="35"/>
  <c r="R8" i="35"/>
  <c r="T8" i="35"/>
  <c r="U8" i="35"/>
  <c r="V8" i="35"/>
  <c r="D9" i="35"/>
  <c r="F9" i="35"/>
  <c r="G9" i="35"/>
  <c r="H9" i="35"/>
  <c r="I9" i="35"/>
  <c r="J9" i="35"/>
  <c r="K9" i="35"/>
  <c r="L9" i="35"/>
  <c r="M9" i="35"/>
  <c r="N9" i="35"/>
  <c r="O9" i="35"/>
  <c r="P9" i="35"/>
  <c r="Q9" i="35"/>
  <c r="R9" i="35"/>
  <c r="S9" i="35"/>
  <c r="T9" i="35"/>
  <c r="U9" i="35"/>
  <c r="V9" i="35"/>
  <c r="H10" i="35"/>
  <c r="M10" i="35"/>
  <c r="N10" i="35"/>
  <c r="P10" i="35"/>
  <c r="Q10" i="35"/>
  <c r="V10" i="35"/>
  <c r="D11" i="35"/>
  <c r="E11" i="35"/>
  <c r="F11" i="35"/>
  <c r="G11" i="35"/>
  <c r="H11" i="35"/>
  <c r="I11" i="35"/>
  <c r="J11" i="35"/>
  <c r="K11" i="35"/>
  <c r="L11" i="35"/>
  <c r="M11" i="35"/>
  <c r="N11" i="35"/>
  <c r="O11" i="35"/>
  <c r="P11" i="35"/>
  <c r="Q11" i="35"/>
  <c r="R11" i="35"/>
  <c r="S11" i="35"/>
  <c r="T11" i="35"/>
  <c r="U11" i="35"/>
  <c r="V11" i="35"/>
  <c r="W11" i="35"/>
  <c r="E12" i="35"/>
  <c r="F12" i="35"/>
  <c r="G12" i="35"/>
  <c r="H12" i="35"/>
  <c r="I12" i="35"/>
  <c r="J12" i="35"/>
  <c r="K12" i="35"/>
  <c r="M12" i="35"/>
  <c r="N12" i="35"/>
  <c r="O12" i="35"/>
  <c r="P12" i="35"/>
  <c r="Q12" i="35"/>
  <c r="S12" i="35"/>
  <c r="U12" i="35"/>
  <c r="V12" i="35"/>
  <c r="D13" i="35"/>
  <c r="E13" i="35"/>
  <c r="G13" i="35"/>
  <c r="H13" i="35"/>
  <c r="K13" i="35"/>
  <c r="L13" i="35"/>
  <c r="M13" i="35"/>
  <c r="N13" i="35"/>
  <c r="O13" i="35"/>
  <c r="P13" i="35"/>
  <c r="Q13" i="35"/>
  <c r="R13" i="35"/>
  <c r="S13" i="35"/>
  <c r="T13" i="35"/>
  <c r="U13" i="35"/>
  <c r="V13" i="35"/>
  <c r="D14" i="35"/>
  <c r="E14" i="35"/>
  <c r="F14" i="35"/>
  <c r="H14" i="35"/>
  <c r="I14" i="35"/>
  <c r="J14" i="35"/>
  <c r="L14" i="35"/>
  <c r="M14" i="35"/>
  <c r="N14" i="35"/>
  <c r="P14" i="35"/>
  <c r="Q14" i="35"/>
  <c r="R14" i="35"/>
  <c r="T14" i="35"/>
  <c r="U14" i="35"/>
  <c r="V14" i="35"/>
  <c r="D15" i="35"/>
  <c r="F15" i="35"/>
  <c r="G15" i="35"/>
  <c r="H15" i="35"/>
  <c r="I15" i="35"/>
  <c r="J15" i="35"/>
  <c r="K15" i="35"/>
  <c r="L15" i="35"/>
  <c r="M15" i="35"/>
  <c r="N15" i="35"/>
  <c r="O15" i="35"/>
  <c r="P15" i="35"/>
  <c r="Q15" i="35"/>
  <c r="R15" i="35"/>
  <c r="S15" i="35"/>
  <c r="T15" i="35"/>
  <c r="U15" i="35"/>
  <c r="V15" i="35"/>
  <c r="H16" i="35"/>
  <c r="M16" i="35"/>
  <c r="N16" i="35"/>
  <c r="P16" i="35"/>
  <c r="Q16" i="35"/>
  <c r="V16" i="35"/>
  <c r="E7" i="51" l="1"/>
  <c r="G7" i="51"/>
  <c r="U16" i="35"/>
  <c r="U10" i="35"/>
  <c r="W146" i="37"/>
  <c r="W61" i="36" s="1"/>
  <c r="W145" i="37"/>
  <c r="W60" i="36" s="1"/>
  <c r="W144" i="37"/>
  <c r="W59" i="36" s="1"/>
  <c r="W143" i="37"/>
  <c r="W58" i="36" s="1"/>
  <c r="W134" i="37"/>
  <c r="S132" i="37"/>
  <c r="S47" i="36" s="1"/>
  <c r="K132" i="37"/>
  <c r="K47" i="36" s="1"/>
  <c r="G132" i="37"/>
  <c r="G47" i="36" s="1"/>
  <c r="S131" i="37"/>
  <c r="S46" i="36" s="1"/>
  <c r="K131" i="37"/>
  <c r="K46" i="36" s="1"/>
  <c r="G131" i="37"/>
  <c r="G46" i="36" s="1"/>
  <c r="S130" i="37"/>
  <c r="S45" i="36" s="1"/>
  <c r="K130" i="37"/>
  <c r="K45" i="36" s="1"/>
  <c r="G130" i="37"/>
  <c r="G45" i="36" s="1"/>
  <c r="S129" i="37"/>
  <c r="S44" i="36" s="1"/>
  <c r="K129" i="37"/>
  <c r="K44" i="36" s="1"/>
  <c r="G129" i="37"/>
  <c r="G44" i="36" s="1"/>
  <c r="E128" i="37"/>
  <c r="E43" i="36" s="1"/>
  <c r="U125" i="37"/>
  <c r="U40" i="36" s="1"/>
  <c r="Q125" i="37"/>
  <c r="Q40" i="36" s="1"/>
  <c r="M125" i="37"/>
  <c r="M40" i="36" s="1"/>
  <c r="E125" i="37"/>
  <c r="E40" i="36" s="1"/>
  <c r="U124" i="37"/>
  <c r="U39" i="36" s="1"/>
  <c r="Q124" i="37"/>
  <c r="Q39" i="36" s="1"/>
  <c r="M124" i="37"/>
  <c r="M39" i="36" s="1"/>
  <c r="E124" i="37"/>
  <c r="E39" i="36" s="1"/>
  <c r="U123" i="37"/>
  <c r="U38" i="36" s="1"/>
  <c r="Q123" i="37"/>
  <c r="Q38" i="36" s="1"/>
  <c r="M123" i="37"/>
  <c r="M38" i="36" s="1"/>
  <c r="E123" i="37"/>
  <c r="E38" i="36" s="1"/>
  <c r="U122" i="37"/>
  <c r="U37" i="36" s="1"/>
  <c r="Q122" i="37"/>
  <c r="Q37" i="36" s="1"/>
  <c r="M122" i="37"/>
  <c r="M37" i="36" s="1"/>
  <c r="E122" i="37"/>
  <c r="E37" i="36" s="1"/>
  <c r="C89" i="37"/>
  <c r="AA54" i="37"/>
  <c r="AG53" i="37"/>
  <c r="I23" i="36" s="1"/>
  <c r="AU48" i="37"/>
  <c r="W18" i="36" s="1"/>
  <c r="AA48" i="37"/>
  <c r="AU47" i="37"/>
  <c r="W17" i="36" s="1"/>
  <c r="AA47" i="37"/>
  <c r="AG63" i="37"/>
  <c r="I33" i="36" s="1"/>
  <c r="AS63" i="37"/>
  <c r="S8" i="35"/>
  <c r="S14" i="35" s="1"/>
  <c r="S16" i="35" s="1"/>
  <c r="O8" i="35"/>
  <c r="O14" i="35" s="1"/>
  <c r="O16" i="35" s="1"/>
  <c r="K8" i="35"/>
  <c r="K14" i="35" s="1"/>
  <c r="K16" i="35" s="1"/>
  <c r="G8" i="35"/>
  <c r="W142" i="37"/>
  <c r="W57" i="36" s="1"/>
  <c r="E57" i="36"/>
  <c r="U135" i="37"/>
  <c r="U50" i="36" s="1"/>
  <c r="U137" i="37"/>
  <c r="U52" i="36" s="1"/>
  <c r="U139" i="37"/>
  <c r="U54" i="36" s="1"/>
  <c r="U136" i="37"/>
  <c r="U51" i="36" s="1"/>
  <c r="U138" i="37"/>
  <c r="U53" i="36" s="1"/>
  <c r="U55" i="36"/>
  <c r="Q136" i="37"/>
  <c r="Q51" i="36" s="1"/>
  <c r="Q138" i="37"/>
  <c r="Q53" i="36" s="1"/>
  <c r="Q135" i="37"/>
  <c r="Q50" i="36" s="1"/>
  <c r="Q137" i="37"/>
  <c r="Q52" i="36" s="1"/>
  <c r="Q139" i="37"/>
  <c r="Q54" i="36" s="1"/>
  <c r="Q55" i="36"/>
  <c r="M135" i="37"/>
  <c r="M50" i="36" s="1"/>
  <c r="M137" i="37"/>
  <c r="M52" i="36" s="1"/>
  <c r="M139" i="37"/>
  <c r="M54" i="36" s="1"/>
  <c r="M136" i="37"/>
  <c r="M51" i="36" s="1"/>
  <c r="M138" i="37"/>
  <c r="M53" i="36" s="1"/>
  <c r="M55" i="36"/>
  <c r="I136" i="37"/>
  <c r="I51" i="36" s="1"/>
  <c r="I138" i="37"/>
  <c r="I53" i="36" s="1"/>
  <c r="I135" i="37"/>
  <c r="I50" i="36" s="1"/>
  <c r="I137" i="37"/>
  <c r="I52" i="36" s="1"/>
  <c r="I139" i="37"/>
  <c r="I54" i="36" s="1"/>
  <c r="I55" i="36"/>
  <c r="W147" i="37"/>
  <c r="E140" i="37"/>
  <c r="S139" i="37"/>
  <c r="S54" i="36" s="1"/>
  <c r="K139" i="37"/>
  <c r="K54" i="36" s="1"/>
  <c r="O138" i="37"/>
  <c r="O53" i="36" s="1"/>
  <c r="G138" i="37"/>
  <c r="G53" i="36" s="1"/>
  <c r="S137" i="37"/>
  <c r="S52" i="36" s="1"/>
  <c r="K137" i="37"/>
  <c r="K52" i="36" s="1"/>
  <c r="O136" i="37"/>
  <c r="O51" i="36" s="1"/>
  <c r="G136" i="37"/>
  <c r="G51" i="36" s="1"/>
  <c r="S135" i="37"/>
  <c r="S50" i="36" s="1"/>
  <c r="K135" i="37"/>
  <c r="K50" i="36" s="1"/>
  <c r="O132" i="37"/>
  <c r="O47" i="36" s="1"/>
  <c r="O130" i="37"/>
  <c r="O45" i="36" s="1"/>
  <c r="O128" i="37"/>
  <c r="O43" i="36" s="1"/>
  <c r="F121" i="37"/>
  <c r="F36" i="36" s="1"/>
  <c r="F122" i="37"/>
  <c r="F37" i="36" s="1"/>
  <c r="F123" i="37"/>
  <c r="F38" i="36" s="1"/>
  <c r="F124" i="37"/>
  <c r="F39" i="36" s="1"/>
  <c r="F125" i="37"/>
  <c r="F40" i="36" s="1"/>
  <c r="I61" i="37"/>
  <c r="AC61" i="37" s="1"/>
  <c r="E31" i="36" s="1"/>
  <c r="K61" i="37"/>
  <c r="AE61" i="37" s="1"/>
  <c r="G31" i="36" s="1"/>
  <c r="S61" i="37"/>
  <c r="AM61" i="37" s="1"/>
  <c r="O31" i="36" s="1"/>
  <c r="H61" i="37"/>
  <c r="X61" i="37"/>
  <c r="AR61" i="37" s="1"/>
  <c r="T31" i="36" s="1"/>
  <c r="V61" i="37"/>
  <c r="AP61" i="37" s="1"/>
  <c r="R31" i="36" s="1"/>
  <c r="AO63" i="37"/>
  <c r="G11" i="36"/>
  <c r="U132" i="37"/>
  <c r="U47" i="36" s="1"/>
  <c r="M132" i="37"/>
  <c r="M47" i="36" s="1"/>
  <c r="E132" i="37"/>
  <c r="E47" i="36" s="1"/>
  <c r="Q131" i="37"/>
  <c r="Q46" i="36" s="1"/>
  <c r="I131" i="37"/>
  <c r="I46" i="36" s="1"/>
  <c r="U130" i="37"/>
  <c r="U45" i="36" s="1"/>
  <c r="M130" i="37"/>
  <c r="M45" i="36" s="1"/>
  <c r="E130" i="37"/>
  <c r="E45" i="36" s="1"/>
  <c r="Q129" i="37"/>
  <c r="Q44" i="36" s="1"/>
  <c r="I129" i="37"/>
  <c r="I44" i="36" s="1"/>
  <c r="U128" i="37"/>
  <c r="U43" i="36" s="1"/>
  <c r="M128" i="37"/>
  <c r="M43" i="36" s="1"/>
  <c r="I113" i="37"/>
  <c r="J113" i="37"/>
  <c r="J114" i="37" s="1"/>
  <c r="J126" i="37" s="1"/>
  <c r="AG65" i="37"/>
  <c r="AB60" i="37"/>
  <c r="AU56" i="37"/>
  <c r="W26" i="36" s="1"/>
  <c r="F26" i="36"/>
  <c r="AD54" i="37"/>
  <c r="AH54" i="37"/>
  <c r="AL54" i="37"/>
  <c r="N24" i="36" s="1"/>
  <c r="AP54" i="37"/>
  <c r="R24" i="36" s="1"/>
  <c r="AT54" i="37"/>
  <c r="AB54" i="37"/>
  <c r="AC54" i="37"/>
  <c r="E24" i="36" s="1"/>
  <c r="AR54" i="37"/>
  <c r="T24" i="36" s="1"/>
  <c r="H53" i="37"/>
  <c r="P53" i="37"/>
  <c r="AJ53" i="37" s="1"/>
  <c r="L23" i="36" s="1"/>
  <c r="X53" i="37"/>
  <c r="AR53" i="37" s="1"/>
  <c r="T23" i="36" s="1"/>
  <c r="I53" i="37"/>
  <c r="AC53" i="37" s="1"/>
  <c r="E23" i="36" s="1"/>
  <c r="V53" i="37"/>
  <c r="AP53" i="37" s="1"/>
  <c r="R23" i="36" s="1"/>
  <c r="K53" i="37"/>
  <c r="AE53" i="37" s="1"/>
  <c r="G23" i="36" s="1"/>
  <c r="S53" i="37"/>
  <c r="AM53" i="37" s="1"/>
  <c r="O23" i="36" s="1"/>
  <c r="O139" i="37"/>
  <c r="O54" i="36" s="1"/>
  <c r="G139" i="37"/>
  <c r="G54" i="36" s="1"/>
  <c r="S138" i="37"/>
  <c r="S53" i="36" s="1"/>
  <c r="K138" i="37"/>
  <c r="K53" i="36" s="1"/>
  <c r="O137" i="37"/>
  <c r="O52" i="36" s="1"/>
  <c r="G137" i="37"/>
  <c r="G52" i="36" s="1"/>
  <c r="O131" i="37"/>
  <c r="O46" i="36" s="1"/>
  <c r="G122" i="37"/>
  <c r="G37" i="36" s="1"/>
  <c r="G124" i="37"/>
  <c r="G39" i="36" s="1"/>
  <c r="G121" i="37"/>
  <c r="G36" i="36" s="1"/>
  <c r="G123" i="37"/>
  <c r="G38" i="36" s="1"/>
  <c r="G125" i="37"/>
  <c r="G40" i="36" s="1"/>
  <c r="I55" i="37"/>
  <c r="AC55" i="37" s="1"/>
  <c r="E25" i="36" s="1"/>
  <c r="K55" i="37"/>
  <c r="AE55" i="37" s="1"/>
  <c r="G25" i="36" s="1"/>
  <c r="S55" i="37"/>
  <c r="AM55" i="37" s="1"/>
  <c r="O25" i="36" s="1"/>
  <c r="H55" i="37"/>
  <c r="P55" i="37"/>
  <c r="AJ55" i="37" s="1"/>
  <c r="L25" i="36" s="1"/>
  <c r="F7" i="35"/>
  <c r="F41" i="36"/>
  <c r="U5" i="36"/>
  <c r="Q5" i="36"/>
  <c r="I5" i="36"/>
  <c r="E5" i="36"/>
  <c r="Q132" i="37"/>
  <c r="Q47" i="36" s="1"/>
  <c r="I132" i="37"/>
  <c r="I47" i="36" s="1"/>
  <c r="U131" i="37"/>
  <c r="U46" i="36" s="1"/>
  <c r="M131" i="37"/>
  <c r="M46" i="36" s="1"/>
  <c r="E131" i="37"/>
  <c r="E46" i="36" s="1"/>
  <c r="Q130" i="37"/>
  <c r="Q45" i="36" s="1"/>
  <c r="I130" i="37"/>
  <c r="I45" i="36" s="1"/>
  <c r="AU62" i="37"/>
  <c r="W32" i="36" s="1"/>
  <c r="D32" i="36"/>
  <c r="AU59" i="37"/>
  <c r="W29" i="36" s="1"/>
  <c r="D29" i="36"/>
  <c r="AU57" i="37"/>
  <c r="W27" i="36" s="1"/>
  <c r="F27" i="36"/>
  <c r="AA51" i="37"/>
  <c r="AB51" i="37"/>
  <c r="AB49" i="37"/>
  <c r="AK63" i="37"/>
  <c r="T139" i="37"/>
  <c r="T54" i="36" s="1"/>
  <c r="P139" i="37"/>
  <c r="P54" i="36" s="1"/>
  <c r="L139" i="37"/>
  <c r="L54" i="36" s="1"/>
  <c r="H139" i="37"/>
  <c r="H54" i="36" s="1"/>
  <c r="D139" i="37"/>
  <c r="T138" i="37"/>
  <c r="T53" i="36" s="1"/>
  <c r="P138" i="37"/>
  <c r="P53" i="36" s="1"/>
  <c r="L138" i="37"/>
  <c r="L53" i="36" s="1"/>
  <c r="H138" i="37"/>
  <c r="H53" i="36" s="1"/>
  <c r="D138" i="37"/>
  <c r="T137" i="37"/>
  <c r="T52" i="36" s="1"/>
  <c r="P137" i="37"/>
  <c r="P52" i="36" s="1"/>
  <c r="L137" i="37"/>
  <c r="L52" i="36" s="1"/>
  <c r="H137" i="37"/>
  <c r="H52" i="36" s="1"/>
  <c r="D137" i="37"/>
  <c r="T136" i="37"/>
  <c r="T51" i="36" s="1"/>
  <c r="P136" i="37"/>
  <c r="P51" i="36" s="1"/>
  <c r="L136" i="37"/>
  <c r="L51" i="36" s="1"/>
  <c r="H136" i="37"/>
  <c r="H51" i="36" s="1"/>
  <c r="D136" i="37"/>
  <c r="P132" i="37"/>
  <c r="P47" i="36" s="1"/>
  <c r="H132" i="37"/>
  <c r="H47" i="36" s="1"/>
  <c r="P131" i="37"/>
  <c r="P46" i="36" s="1"/>
  <c r="H131" i="37"/>
  <c r="H46" i="36" s="1"/>
  <c r="P130" i="37"/>
  <c r="P45" i="36" s="1"/>
  <c r="H130" i="37"/>
  <c r="H45" i="36" s="1"/>
  <c r="P129" i="37"/>
  <c r="P44" i="36" s="1"/>
  <c r="H129" i="37"/>
  <c r="H44" i="36" s="1"/>
  <c r="O125" i="37"/>
  <c r="O40" i="36" s="1"/>
  <c r="S124" i="37"/>
  <c r="S39" i="36" s="1"/>
  <c r="K124" i="37"/>
  <c r="K39" i="36" s="1"/>
  <c r="O123" i="37"/>
  <c r="O38" i="36" s="1"/>
  <c r="S122" i="37"/>
  <c r="S37" i="36" s="1"/>
  <c r="K122" i="37"/>
  <c r="K37" i="36" s="1"/>
  <c r="O121" i="37"/>
  <c r="O36" i="36" s="1"/>
  <c r="D127" i="37"/>
  <c r="L127" i="37"/>
  <c r="T127" i="37"/>
  <c r="R127" i="37"/>
  <c r="AA62" i="37"/>
  <c r="AA56" i="37"/>
  <c r="AF54" i="37"/>
  <c r="H24" i="36" s="1"/>
  <c r="AA44" i="37"/>
  <c r="AB44" i="37"/>
  <c r="AB42" i="37"/>
  <c r="AI63" i="37"/>
  <c r="AQ63" i="37"/>
  <c r="AA35" i="37"/>
  <c r="AB35" i="37"/>
  <c r="F27" i="37"/>
  <c r="I9" i="37" s="1"/>
  <c r="V139" i="37"/>
  <c r="V54" i="36" s="1"/>
  <c r="R139" i="37"/>
  <c r="R54" i="36" s="1"/>
  <c r="N139" i="37"/>
  <c r="N54" i="36" s="1"/>
  <c r="J139" i="37"/>
  <c r="J54" i="36" s="1"/>
  <c r="F139" i="37"/>
  <c r="F54" i="36" s="1"/>
  <c r="V138" i="37"/>
  <c r="V53" i="36" s="1"/>
  <c r="R138" i="37"/>
  <c r="R53" i="36" s="1"/>
  <c r="N138" i="37"/>
  <c r="N53" i="36" s="1"/>
  <c r="J138" i="37"/>
  <c r="J53" i="36" s="1"/>
  <c r="F138" i="37"/>
  <c r="F53" i="36" s="1"/>
  <c r="V137" i="37"/>
  <c r="V52" i="36" s="1"/>
  <c r="R137" i="37"/>
  <c r="R52" i="36" s="1"/>
  <c r="N137" i="37"/>
  <c r="N52" i="36" s="1"/>
  <c r="J137" i="37"/>
  <c r="J52" i="36" s="1"/>
  <c r="F137" i="37"/>
  <c r="F52" i="36" s="1"/>
  <c r="V136" i="37"/>
  <c r="V51" i="36" s="1"/>
  <c r="R136" i="37"/>
  <c r="R51" i="36" s="1"/>
  <c r="N136" i="37"/>
  <c r="N51" i="36" s="1"/>
  <c r="J136" i="37"/>
  <c r="J51" i="36" s="1"/>
  <c r="F136" i="37"/>
  <c r="F51" i="36" s="1"/>
  <c r="V132" i="37"/>
  <c r="V47" i="36" s="1"/>
  <c r="N132" i="37"/>
  <c r="N47" i="36" s="1"/>
  <c r="J132" i="37"/>
  <c r="J47" i="36" s="1"/>
  <c r="F132" i="37"/>
  <c r="F47" i="36" s="1"/>
  <c r="V131" i="37"/>
  <c r="V46" i="36" s="1"/>
  <c r="N131" i="37"/>
  <c r="N46" i="36" s="1"/>
  <c r="J131" i="37"/>
  <c r="J46" i="36" s="1"/>
  <c r="F131" i="37"/>
  <c r="F46" i="36" s="1"/>
  <c r="V130" i="37"/>
  <c r="V45" i="36" s="1"/>
  <c r="N130" i="37"/>
  <c r="N45" i="36" s="1"/>
  <c r="J130" i="37"/>
  <c r="J45" i="36" s="1"/>
  <c r="F130" i="37"/>
  <c r="F45" i="36" s="1"/>
  <c r="V129" i="37"/>
  <c r="V44" i="36" s="1"/>
  <c r="N129" i="37"/>
  <c r="N44" i="36" s="1"/>
  <c r="J129" i="37"/>
  <c r="J44" i="36" s="1"/>
  <c r="F129" i="37"/>
  <c r="F44" i="36" s="1"/>
  <c r="S125" i="37"/>
  <c r="S40" i="36" s="1"/>
  <c r="K125" i="37"/>
  <c r="K40" i="36" s="1"/>
  <c r="O124" i="37"/>
  <c r="O39" i="36" s="1"/>
  <c r="S123" i="37"/>
  <c r="S38" i="36" s="1"/>
  <c r="K123" i="37"/>
  <c r="K38" i="36" s="1"/>
  <c r="AA57" i="37"/>
  <c r="AA39" i="37"/>
  <c r="AB39" i="37"/>
  <c r="AU36" i="37"/>
  <c r="W6" i="36" s="1"/>
  <c r="I26" i="37"/>
  <c r="I10" i="37"/>
  <c r="V125" i="37"/>
  <c r="V40" i="36" s="1"/>
  <c r="R125" i="37"/>
  <c r="R40" i="36" s="1"/>
  <c r="N125" i="37"/>
  <c r="N40" i="36" s="1"/>
  <c r="V124" i="37"/>
  <c r="V39" i="36" s="1"/>
  <c r="R124" i="37"/>
  <c r="R39" i="36" s="1"/>
  <c r="N124" i="37"/>
  <c r="N39" i="36" s="1"/>
  <c r="V123" i="37"/>
  <c r="V38" i="36" s="1"/>
  <c r="R123" i="37"/>
  <c r="R38" i="36" s="1"/>
  <c r="N123" i="37"/>
  <c r="N38" i="36" s="1"/>
  <c r="V122" i="37"/>
  <c r="V37" i="36" s="1"/>
  <c r="R122" i="37"/>
  <c r="R37" i="36" s="1"/>
  <c r="N122" i="37"/>
  <c r="N37" i="36" s="1"/>
  <c r="AU50" i="37"/>
  <c r="W20" i="36" s="1"/>
  <c r="AU38" i="37"/>
  <c r="W8" i="36" s="1"/>
  <c r="AA37" i="37"/>
  <c r="AB37" i="37"/>
  <c r="H26" i="37"/>
  <c r="H18" i="37"/>
  <c r="H10" i="37"/>
  <c r="T125" i="37"/>
  <c r="T40" i="36" s="1"/>
  <c r="P125" i="37"/>
  <c r="P40" i="36" s="1"/>
  <c r="L125" i="37"/>
  <c r="L40" i="36" s="1"/>
  <c r="H125" i="37"/>
  <c r="H40" i="36" s="1"/>
  <c r="D125" i="37"/>
  <c r="D40" i="36" s="1"/>
  <c r="T124" i="37"/>
  <c r="T39" i="36" s="1"/>
  <c r="P124" i="37"/>
  <c r="P39" i="36" s="1"/>
  <c r="L124" i="37"/>
  <c r="L39" i="36" s="1"/>
  <c r="H124" i="37"/>
  <c r="H39" i="36" s="1"/>
  <c r="D124" i="37"/>
  <c r="D39" i="36" s="1"/>
  <c r="T123" i="37"/>
  <c r="T38" i="36" s="1"/>
  <c r="P123" i="37"/>
  <c r="P38" i="36" s="1"/>
  <c r="L123" i="37"/>
  <c r="L38" i="36" s="1"/>
  <c r="H123" i="37"/>
  <c r="H38" i="36" s="1"/>
  <c r="D123" i="37"/>
  <c r="D38" i="36" s="1"/>
  <c r="T122" i="37"/>
  <c r="T37" i="36" s="1"/>
  <c r="P122" i="37"/>
  <c r="P37" i="36" s="1"/>
  <c r="L122" i="37"/>
  <c r="L37" i="36" s="1"/>
  <c r="H122" i="37"/>
  <c r="H37" i="36" s="1"/>
  <c r="D122" i="37"/>
  <c r="D37" i="36" s="1"/>
  <c r="I60" i="37"/>
  <c r="AC60" i="37" s="1"/>
  <c r="E30" i="36" s="1"/>
  <c r="AJ54" i="37"/>
  <c r="L24" i="36" s="1"/>
  <c r="AU43" i="37"/>
  <c r="W13" i="36" s="1"/>
  <c r="X13" i="36" s="1"/>
  <c r="Y13" i="36" s="1"/>
  <c r="H22" i="37"/>
  <c r="H14" i="37"/>
  <c r="AA59" i="37"/>
  <c r="H58" i="37"/>
  <c r="P58" i="37"/>
  <c r="AJ58" i="37" s="1"/>
  <c r="L28" i="36" s="1"/>
  <c r="X58" i="37"/>
  <c r="AR58" i="37" s="1"/>
  <c r="T28" i="36" s="1"/>
  <c r="AL53" i="37"/>
  <c r="P52" i="37"/>
  <c r="AJ52" i="37" s="1"/>
  <c r="L22" i="36" s="1"/>
  <c r="H52" i="37"/>
  <c r="H46" i="37"/>
  <c r="P46" i="37"/>
  <c r="AJ46" i="37" s="1"/>
  <c r="L16" i="36" s="1"/>
  <c r="X46" i="37"/>
  <c r="AR46" i="37" s="1"/>
  <c r="T16" i="36" s="1"/>
  <c r="I46" i="37"/>
  <c r="AC46" i="37" s="1"/>
  <c r="E16" i="36" s="1"/>
  <c r="H41" i="37"/>
  <c r="P41" i="37"/>
  <c r="AJ41" i="37" s="1"/>
  <c r="X41" i="37"/>
  <c r="AR41" i="37" s="1"/>
  <c r="I41" i="37"/>
  <c r="AC41" i="37" s="1"/>
  <c r="E11" i="36" s="1"/>
  <c r="H24" i="37"/>
  <c r="H20" i="37"/>
  <c r="H16" i="37"/>
  <c r="H12" i="37"/>
  <c r="H8" i="37"/>
  <c r="AF53" i="37"/>
  <c r="H23" i="36" s="1"/>
  <c r="AN53" i="37"/>
  <c r="P23" i="36" s="1"/>
  <c r="AA50" i="37"/>
  <c r="I45" i="37"/>
  <c r="V45" i="37"/>
  <c r="AP45" i="37" s="1"/>
  <c r="R15" i="36" s="1"/>
  <c r="AA43" i="37"/>
  <c r="I40" i="37"/>
  <c r="V40" i="37"/>
  <c r="AP40" i="37" s="1"/>
  <c r="AA38" i="37"/>
  <c r="AA36" i="37"/>
  <c r="H25" i="37"/>
  <c r="H21" i="37"/>
  <c r="H17" i="37"/>
  <c r="H13" i="37"/>
  <c r="H9" i="37"/>
  <c r="X49" i="37"/>
  <c r="AR49" i="37" s="1"/>
  <c r="T19" i="36" s="1"/>
  <c r="P49" i="37"/>
  <c r="AJ49" i="37" s="1"/>
  <c r="L19" i="36" s="1"/>
  <c r="X42" i="37"/>
  <c r="AR42" i="37" s="1"/>
  <c r="T12" i="36" s="1"/>
  <c r="P42" i="37"/>
  <c r="AJ42" i="37" s="1"/>
  <c r="L12" i="36" s="1"/>
  <c r="I128" i="33"/>
  <c r="J128" i="33"/>
  <c r="K128" i="33"/>
  <c r="L128" i="33"/>
  <c r="M128" i="33"/>
  <c r="U80" i="33"/>
  <c r="U83" i="33" s="1"/>
  <c r="O81" i="33"/>
  <c r="P81" i="33"/>
  <c r="Q81" i="33"/>
  <c r="R81" i="33"/>
  <c r="O82" i="33"/>
  <c r="P82" i="33"/>
  <c r="Q82" i="33"/>
  <c r="R82" i="33"/>
  <c r="O83" i="33"/>
  <c r="P83" i="33"/>
  <c r="Q83" i="33"/>
  <c r="R83" i="33"/>
  <c r="O84" i="33"/>
  <c r="P84" i="33"/>
  <c r="Q84" i="33"/>
  <c r="R84" i="33"/>
  <c r="O85" i="33"/>
  <c r="P85" i="33"/>
  <c r="Q85" i="33"/>
  <c r="R85" i="33"/>
  <c r="O86" i="33"/>
  <c r="P86" i="33"/>
  <c r="R86" i="33"/>
  <c r="O87" i="33"/>
  <c r="P87" i="33"/>
  <c r="Q87" i="33"/>
  <c r="R87" i="33"/>
  <c r="O88" i="33"/>
  <c r="P88" i="33"/>
  <c r="Q88" i="33"/>
  <c r="R88" i="33"/>
  <c r="O89" i="33"/>
  <c r="P89" i="33"/>
  <c r="Q89" i="33"/>
  <c r="R89" i="33"/>
  <c r="O90" i="33"/>
  <c r="P90" i="33"/>
  <c r="Q90" i="33"/>
  <c r="R90" i="33"/>
  <c r="O91" i="33"/>
  <c r="P91" i="33"/>
  <c r="Q91" i="33"/>
  <c r="R91" i="33"/>
  <c r="O92" i="33"/>
  <c r="P92" i="33"/>
  <c r="Q92" i="33"/>
  <c r="R92" i="33"/>
  <c r="O93" i="33"/>
  <c r="P93" i="33"/>
  <c r="R93" i="33"/>
  <c r="O94" i="33"/>
  <c r="P94" i="33"/>
  <c r="Q94" i="33"/>
  <c r="R94" i="33"/>
  <c r="O95" i="33"/>
  <c r="P95" i="33"/>
  <c r="R95" i="33"/>
  <c r="O96" i="33"/>
  <c r="P96" i="33"/>
  <c r="R96" i="33"/>
  <c r="O97" i="33"/>
  <c r="P97" i="33"/>
  <c r="R97" i="33"/>
  <c r="O98" i="33"/>
  <c r="R98" i="33"/>
  <c r="U98" i="33"/>
  <c r="O105" i="33"/>
  <c r="R105" i="33"/>
  <c r="G72" i="33"/>
  <c r="H56" i="41" s="1"/>
  <c r="H57" i="41" s="1"/>
  <c r="H54" i="41" s="1"/>
  <c r="C19" i="33"/>
  <c r="C21" i="33" s="1"/>
  <c r="C47" i="33" s="1"/>
  <c r="E19" i="33"/>
  <c r="E21" i="33" s="1"/>
  <c r="E47" i="33" s="1"/>
  <c r="F19" i="33"/>
  <c r="G19" i="33"/>
  <c r="G21" i="33" s="1"/>
  <c r="H19" i="33"/>
  <c r="I19" i="33"/>
  <c r="J19" i="33"/>
  <c r="C29" i="33"/>
  <c r="C31" i="33" s="1"/>
  <c r="D29" i="33"/>
  <c r="D31" i="33" s="1"/>
  <c r="D39" i="33" s="1"/>
  <c r="D47" i="33" s="1"/>
  <c r="E29" i="33"/>
  <c r="E31" i="33" s="1"/>
  <c r="F29" i="33"/>
  <c r="F31" i="33" s="1"/>
  <c r="F39" i="33" s="1"/>
  <c r="G29" i="33"/>
  <c r="H29" i="33"/>
  <c r="I29" i="33"/>
  <c r="J29" i="33"/>
  <c r="J37" i="33"/>
  <c r="J45" i="33" s="1"/>
  <c r="C38" i="33"/>
  <c r="E38" i="33"/>
  <c r="F38" i="33"/>
  <c r="G38" i="33"/>
  <c r="H38" i="33"/>
  <c r="I38" i="33"/>
  <c r="J38" i="33"/>
  <c r="H39" i="33"/>
  <c r="I39" i="33"/>
  <c r="J39" i="33"/>
  <c r="L43" i="2"/>
  <c r="K43" i="2" s="1"/>
  <c r="J43" i="2" s="1"/>
  <c r="I43" i="2" s="1"/>
  <c r="H43" i="2" s="1"/>
  <c r="G43" i="2" s="1"/>
  <c r="F43" i="2" s="1"/>
  <c r="E43" i="2" s="1"/>
  <c r="D43" i="2" s="1"/>
  <c r="C43" i="2" s="1"/>
  <c r="L44" i="2"/>
  <c r="K44" i="2" s="1"/>
  <c r="J44" i="2" s="1"/>
  <c r="I44" i="2" s="1"/>
  <c r="H44" i="2" s="1"/>
  <c r="G44" i="2" s="1"/>
  <c r="F44" i="2" s="1"/>
  <c r="E44" i="2" s="1"/>
  <c r="D44" i="2" s="1"/>
  <c r="C44" i="2" s="1"/>
  <c r="L45" i="2"/>
  <c r="K45" i="2" s="1"/>
  <c r="J45" i="2" s="1"/>
  <c r="I45" i="2" s="1"/>
  <c r="H45" i="2" s="1"/>
  <c r="G45" i="2" s="1"/>
  <c r="F45" i="2" s="1"/>
  <c r="E45" i="2" s="1"/>
  <c r="D45" i="2" s="1"/>
  <c r="C45" i="2" s="1"/>
  <c r="L41" i="2"/>
  <c r="K41" i="2" s="1"/>
  <c r="J41" i="2" s="1"/>
  <c r="I41" i="2" s="1"/>
  <c r="H41" i="2" s="1"/>
  <c r="G41" i="2" s="1"/>
  <c r="F41" i="2" s="1"/>
  <c r="E41" i="2" s="1"/>
  <c r="D41" i="2" s="1"/>
  <c r="C41" i="2" s="1"/>
  <c r="L36" i="2"/>
  <c r="K36" i="2" s="1"/>
  <c r="J36" i="2" s="1"/>
  <c r="I36" i="2" s="1"/>
  <c r="H36" i="2" s="1"/>
  <c r="G36" i="2" s="1"/>
  <c r="F36" i="2" s="1"/>
  <c r="E36" i="2" s="1"/>
  <c r="D36" i="2" s="1"/>
  <c r="C36" i="2" s="1"/>
  <c r="L37" i="2"/>
  <c r="K37" i="2" s="1"/>
  <c r="J37" i="2" s="1"/>
  <c r="I37" i="2" s="1"/>
  <c r="H37" i="2" s="1"/>
  <c r="G37" i="2" s="1"/>
  <c r="F37" i="2" s="1"/>
  <c r="E37" i="2" s="1"/>
  <c r="D37" i="2" s="1"/>
  <c r="C37" i="2" s="1"/>
  <c r="L38" i="2"/>
  <c r="K38" i="2" s="1"/>
  <c r="J38" i="2" s="1"/>
  <c r="I38" i="2" s="1"/>
  <c r="H38" i="2" s="1"/>
  <c r="G38" i="2" s="1"/>
  <c r="F38" i="2" s="1"/>
  <c r="E38" i="2" s="1"/>
  <c r="D38" i="2" s="1"/>
  <c r="C38" i="2" s="1"/>
  <c r="L39" i="2"/>
  <c r="K39" i="2" s="1"/>
  <c r="J39" i="2" s="1"/>
  <c r="I39" i="2" s="1"/>
  <c r="H39" i="2" s="1"/>
  <c r="G39" i="2" s="1"/>
  <c r="F39" i="2" s="1"/>
  <c r="E39" i="2" s="1"/>
  <c r="D39" i="2" s="1"/>
  <c r="C39" i="2" s="1"/>
  <c r="H7" i="51" l="1"/>
  <c r="I18" i="37"/>
  <c r="I25" i="37"/>
  <c r="I14" i="37"/>
  <c r="S10" i="35"/>
  <c r="U33" i="36"/>
  <c r="AS65" i="37"/>
  <c r="D97" i="37"/>
  <c r="E97" i="37" s="1"/>
  <c r="W49" i="36"/>
  <c r="H27" i="37"/>
  <c r="AB41" i="37"/>
  <c r="AA41" i="37"/>
  <c r="AB46" i="37"/>
  <c r="AA46" i="37"/>
  <c r="D51" i="36"/>
  <c r="AU51" i="37"/>
  <c r="W21" i="36" s="1"/>
  <c r="X21" i="36" s="1"/>
  <c r="D21" i="36"/>
  <c r="J121" i="37"/>
  <c r="J36" i="36" s="1"/>
  <c r="J122" i="37"/>
  <c r="J37" i="36" s="1"/>
  <c r="J123" i="37"/>
  <c r="J38" i="36" s="1"/>
  <c r="J124" i="37"/>
  <c r="J39" i="36" s="1"/>
  <c r="J125" i="37"/>
  <c r="J40" i="36" s="1"/>
  <c r="J41" i="36"/>
  <c r="J7" i="35"/>
  <c r="AA61" i="37"/>
  <c r="AB61" i="37"/>
  <c r="AB52" i="37"/>
  <c r="AA52" i="37"/>
  <c r="AU37" i="37"/>
  <c r="W7" i="36" s="1"/>
  <c r="D7" i="36"/>
  <c r="AI65" i="37"/>
  <c r="K33" i="36"/>
  <c r="D52" i="36"/>
  <c r="AU54" i="37"/>
  <c r="W24" i="36" s="1"/>
  <c r="X24" i="36" s="1"/>
  <c r="D24" i="36"/>
  <c r="W113" i="37"/>
  <c r="W114" i="37" s="1"/>
  <c r="W126" i="37" s="1"/>
  <c r="I114" i="37"/>
  <c r="I126" i="37" s="1"/>
  <c r="AE63" i="37"/>
  <c r="AR63" i="37"/>
  <c r="T11" i="36"/>
  <c r="AB58" i="37"/>
  <c r="AA58" i="37"/>
  <c r="I17" i="37"/>
  <c r="AU35" i="37"/>
  <c r="D5" i="36"/>
  <c r="AU42" i="37"/>
  <c r="W12" i="36" s="1"/>
  <c r="D12" i="36"/>
  <c r="T133" i="37"/>
  <c r="T42" i="36"/>
  <c r="D53" i="36"/>
  <c r="AU49" i="37"/>
  <c r="W19" i="36" s="1"/>
  <c r="D19" i="36"/>
  <c r="AF63" i="37"/>
  <c r="F10" i="35"/>
  <c r="F13" i="35"/>
  <c r="F16" i="35" s="1"/>
  <c r="AB53" i="37"/>
  <c r="AA53" i="37"/>
  <c r="AT63" i="37"/>
  <c r="V24" i="36"/>
  <c r="AD63" i="37"/>
  <c r="F24" i="36"/>
  <c r="AU60" i="37"/>
  <c r="W30" i="36" s="1"/>
  <c r="D30" i="36"/>
  <c r="E135" i="37"/>
  <c r="E137" i="37"/>
  <c r="E52" i="36" s="1"/>
  <c r="E139" i="37"/>
  <c r="E54" i="36" s="1"/>
  <c r="W140" i="37"/>
  <c r="E136" i="37"/>
  <c r="E51" i="36" s="1"/>
  <c r="E138" i="37"/>
  <c r="E53" i="36" s="1"/>
  <c r="E55" i="36"/>
  <c r="E9" i="35"/>
  <c r="G14" i="35"/>
  <c r="G16" i="35" s="1"/>
  <c r="G10" i="35"/>
  <c r="K10" i="35"/>
  <c r="R10" i="36"/>
  <c r="AP63" i="37"/>
  <c r="AC45" i="37"/>
  <c r="AA45" i="37"/>
  <c r="AQ65" i="37"/>
  <c r="S33" i="36"/>
  <c r="AU44" i="37"/>
  <c r="W14" i="36" s="1"/>
  <c r="D14" i="36"/>
  <c r="W127" i="37"/>
  <c r="D133" i="37"/>
  <c r="D42" i="36"/>
  <c r="AO65" i="37"/>
  <c r="Q33" i="36"/>
  <c r="AC40" i="37"/>
  <c r="AA40" i="37"/>
  <c r="AU39" i="37"/>
  <c r="W9" i="36" s="1"/>
  <c r="D9" i="36"/>
  <c r="R133" i="37"/>
  <c r="R42" i="36"/>
  <c r="M33" i="36"/>
  <c r="AK65" i="37"/>
  <c r="AH63" i="37"/>
  <c r="J24" i="36"/>
  <c r="AA60" i="37"/>
  <c r="AJ63" i="37"/>
  <c r="L11" i="36"/>
  <c r="AL63" i="37"/>
  <c r="N23" i="36"/>
  <c r="AM63" i="37"/>
  <c r="I27" i="37"/>
  <c r="I12" i="37"/>
  <c r="I20" i="37"/>
  <c r="I8" i="37"/>
  <c r="I16" i="37"/>
  <c r="I24" i="37"/>
  <c r="I11" i="37"/>
  <c r="I19" i="37"/>
  <c r="I15" i="37"/>
  <c r="I23" i="37"/>
  <c r="AA42" i="37"/>
  <c r="L133" i="37"/>
  <c r="L42" i="36"/>
  <c r="D54" i="36"/>
  <c r="AA49" i="37"/>
  <c r="AN63" i="37"/>
  <c r="I22" i="37"/>
  <c r="AA55" i="37"/>
  <c r="AB55" i="37"/>
  <c r="I13" i="37"/>
  <c r="I21" i="37"/>
  <c r="W8" i="35"/>
  <c r="W14" i="35" s="1"/>
  <c r="W62" i="36"/>
  <c r="O10" i="35"/>
  <c r="C39" i="33"/>
  <c r="U95" i="33"/>
  <c r="U94" i="33"/>
  <c r="U87" i="33"/>
  <c r="U84" i="33"/>
  <c r="U89" i="33"/>
  <c r="U91" i="33"/>
  <c r="N96" i="33"/>
  <c r="N93" i="33"/>
  <c r="N86" i="33"/>
  <c r="U82" i="33"/>
  <c r="N105" i="33"/>
  <c r="U97" i="33"/>
  <c r="U96" i="33"/>
  <c r="N95" i="33"/>
  <c r="U90" i="33"/>
  <c r="U86" i="33"/>
  <c r="U85" i="33"/>
  <c r="U81" i="33"/>
  <c r="U93" i="33"/>
  <c r="U92" i="33"/>
  <c r="U88" i="33"/>
  <c r="N84" i="33"/>
  <c r="N83" i="33"/>
  <c r="N94" i="33"/>
  <c r="N90" i="33"/>
  <c r="N89" i="33"/>
  <c r="N85" i="33"/>
  <c r="N82" i="33"/>
  <c r="N81" i="33"/>
  <c r="N98" i="33"/>
  <c r="N97" i="33"/>
  <c r="N92" i="33"/>
  <c r="N91" i="33"/>
  <c r="N88" i="33"/>
  <c r="N87" i="33"/>
  <c r="E39" i="33"/>
  <c r="G39" i="33"/>
  <c r="G47" i="33"/>
  <c r="A65" i="1"/>
  <c r="W138" i="37" l="1"/>
  <c r="W53" i="36" s="1"/>
  <c r="Y21" i="36"/>
  <c r="AH65" i="37"/>
  <c r="J33" i="36"/>
  <c r="D128" i="37"/>
  <c r="D129" i="37"/>
  <c r="D130" i="37"/>
  <c r="D131" i="37"/>
  <c r="D132" i="37"/>
  <c r="D48" i="36"/>
  <c r="D6" i="35"/>
  <c r="W133" i="37"/>
  <c r="AD65" i="37"/>
  <c r="F33" i="36"/>
  <c r="Y24" i="36"/>
  <c r="AU52" i="37"/>
  <c r="W22" i="36" s="1"/>
  <c r="D22" i="36"/>
  <c r="AU46" i="37"/>
  <c r="W16" i="36" s="1"/>
  <c r="D16" i="36"/>
  <c r="AJ65" i="37"/>
  <c r="L33" i="36"/>
  <c r="E15" i="35"/>
  <c r="E16" i="35" s="1"/>
  <c r="E10" i="35"/>
  <c r="AB63" i="37"/>
  <c r="AU58" i="37"/>
  <c r="W28" i="36" s="1"/>
  <c r="D28" i="36"/>
  <c r="AU61" i="37"/>
  <c r="W31" i="36" s="1"/>
  <c r="X32" i="36" s="1"/>
  <c r="D31" i="36"/>
  <c r="AT65" i="37"/>
  <c r="V33" i="36"/>
  <c r="W5" i="36"/>
  <c r="X9" i="36" s="1"/>
  <c r="W122" i="37"/>
  <c r="W37" i="36" s="1"/>
  <c r="W124" i="37"/>
  <c r="W39" i="36" s="1"/>
  <c r="W121" i="37"/>
  <c r="W36" i="36" s="1"/>
  <c r="W123" i="37"/>
  <c r="W38" i="36" s="1"/>
  <c r="W125" i="37"/>
  <c r="W40" i="36" s="1"/>
  <c r="W7" i="35"/>
  <c r="W13" i="35" s="1"/>
  <c r="W41" i="36"/>
  <c r="W137" i="37"/>
  <c r="W52" i="36" s="1"/>
  <c r="AU41" i="37"/>
  <c r="W11" i="36" s="1"/>
  <c r="D11" i="36"/>
  <c r="AN65" i="37"/>
  <c r="P33" i="36"/>
  <c r="R128" i="37"/>
  <c r="R43" i="36" s="1"/>
  <c r="R129" i="37"/>
  <c r="R44" i="36" s="1"/>
  <c r="R130" i="37"/>
  <c r="R45" i="36" s="1"/>
  <c r="R131" i="37"/>
  <c r="R46" i="36" s="1"/>
  <c r="R132" i="37"/>
  <c r="R47" i="36" s="1"/>
  <c r="R48" i="36"/>
  <c r="R6" i="35"/>
  <c r="E10" i="36"/>
  <c r="AU40" i="37"/>
  <c r="W10" i="36" s="1"/>
  <c r="X12" i="36" s="1"/>
  <c r="AC63" i="37"/>
  <c r="AP65" i="37"/>
  <c r="R33" i="36"/>
  <c r="W135" i="37"/>
  <c r="W50" i="36" s="1"/>
  <c r="E50" i="36"/>
  <c r="AU53" i="37"/>
  <c r="W23" i="36" s="1"/>
  <c r="D23" i="36"/>
  <c r="AE65" i="37"/>
  <c r="G33" i="36"/>
  <c r="W136" i="37"/>
  <c r="W51" i="36" s="1"/>
  <c r="AU55" i="37"/>
  <c r="W25" i="36" s="1"/>
  <c r="X29" i="36" s="1"/>
  <c r="D25" i="36"/>
  <c r="L128" i="37"/>
  <c r="L43" i="36" s="1"/>
  <c r="L129" i="37"/>
  <c r="L44" i="36" s="1"/>
  <c r="L130" i="37"/>
  <c r="L45" i="36" s="1"/>
  <c r="L131" i="37"/>
  <c r="L46" i="36" s="1"/>
  <c r="L132" i="37"/>
  <c r="L47" i="36" s="1"/>
  <c r="L48" i="36"/>
  <c r="L6" i="35"/>
  <c r="AM65" i="37"/>
  <c r="O33" i="36"/>
  <c r="D94" i="37"/>
  <c r="W42" i="36"/>
  <c r="W55" i="36"/>
  <c r="W9" i="35"/>
  <c r="W15" i="35" s="1"/>
  <c r="T128" i="37"/>
  <c r="T43" i="36" s="1"/>
  <c r="T129" i="37"/>
  <c r="T44" i="36" s="1"/>
  <c r="T130" i="37"/>
  <c r="T45" i="36" s="1"/>
  <c r="T131" i="37"/>
  <c r="T46" i="36" s="1"/>
  <c r="T132" i="37"/>
  <c r="T47" i="36" s="1"/>
  <c r="T48" i="36"/>
  <c r="T6" i="35"/>
  <c r="I122" i="37"/>
  <c r="I37" i="36" s="1"/>
  <c r="I123" i="37"/>
  <c r="I38" i="36" s="1"/>
  <c r="I124" i="37"/>
  <c r="I39" i="36" s="1"/>
  <c r="I121" i="37"/>
  <c r="I36" i="36" s="1"/>
  <c r="I125" i="37"/>
  <c r="I40" i="36" s="1"/>
  <c r="I41" i="36"/>
  <c r="I7" i="35"/>
  <c r="W139" i="37"/>
  <c r="W54" i="36" s="1"/>
  <c r="AL65" i="37"/>
  <c r="N33" i="36"/>
  <c r="E15" i="36"/>
  <c r="AU45" i="37"/>
  <c r="W15" i="36" s="1"/>
  <c r="X19" i="36" s="1"/>
  <c r="AF65" i="37"/>
  <c r="H33" i="36"/>
  <c r="AR65" i="37"/>
  <c r="T33" i="36"/>
  <c r="J10" i="35"/>
  <c r="J13" i="35"/>
  <c r="J16" i="35" s="1"/>
  <c r="B4" i="1"/>
  <c r="Y19" i="36" l="1"/>
  <c r="Y32" i="36"/>
  <c r="W48" i="36"/>
  <c r="W6" i="35"/>
  <c r="W131" i="37"/>
  <c r="W46" i="36" s="1"/>
  <c r="D46" i="36"/>
  <c r="D10" i="35"/>
  <c r="D12" i="35"/>
  <c r="D16" i="35" s="1"/>
  <c r="D45" i="36"/>
  <c r="W130" i="37"/>
  <c r="W45" i="36" s="1"/>
  <c r="I13" i="35"/>
  <c r="I16" i="35" s="1"/>
  <c r="I10" i="35"/>
  <c r="L10" i="35"/>
  <c r="L12" i="35"/>
  <c r="L16" i="35" s="1"/>
  <c r="Y29" i="36"/>
  <c r="Y9" i="36"/>
  <c r="W129" i="37"/>
  <c r="W44" i="36" s="1"/>
  <c r="D44" i="36"/>
  <c r="AC65" i="37"/>
  <c r="E33" i="36"/>
  <c r="T10" i="35"/>
  <c r="T12" i="35"/>
  <c r="T16" i="35" s="1"/>
  <c r="Y12" i="36"/>
  <c r="E94" i="37"/>
  <c r="D99" i="37"/>
  <c r="E99" i="37" s="1"/>
  <c r="R10" i="35"/>
  <c r="R12" i="35"/>
  <c r="R16" i="35" s="1"/>
  <c r="AU63" i="37"/>
  <c r="AB65" i="37"/>
  <c r="D33" i="36"/>
  <c r="X23" i="36"/>
  <c r="X33" i="36" s="1"/>
  <c r="Z29" i="36" s="1"/>
  <c r="D47" i="36"/>
  <c r="W132" i="37"/>
  <c r="W47" i="36" s="1"/>
  <c r="D43" i="36"/>
  <c r="W128" i="37"/>
  <c r="W43" i="36" s="1"/>
  <c r="A52" i="1"/>
  <c r="A47" i="1"/>
  <c r="A48" i="1"/>
  <c r="A49" i="1"/>
  <c r="A50" i="1"/>
  <c r="A51" i="1"/>
  <c r="A46" i="1"/>
  <c r="A64" i="1" s="1"/>
  <c r="A41" i="1"/>
  <c r="A42" i="1"/>
  <c r="A43" i="1"/>
  <c r="A44" i="1"/>
  <c r="A40" i="1"/>
  <c r="A63" i="1" s="1"/>
  <c r="A37" i="1"/>
  <c r="A36" i="1"/>
  <c r="A35" i="1"/>
  <c r="A32" i="1"/>
  <c r="A33" i="1"/>
  <c r="A34" i="1"/>
  <c r="A31" i="1"/>
  <c r="A62" i="1" s="1"/>
  <c r="A27" i="1"/>
  <c r="A28" i="1"/>
  <c r="A18" i="1"/>
  <c r="A19" i="1"/>
  <c r="A20" i="1"/>
  <c r="A21" i="1"/>
  <c r="A22" i="1"/>
  <c r="A23" i="1"/>
  <c r="A24" i="1"/>
  <c r="A25" i="1"/>
  <c r="A26" i="1"/>
  <c r="A17" i="1"/>
  <c r="A61" i="1" s="1"/>
  <c r="B37" i="2"/>
  <c r="B38" i="2"/>
  <c r="B39" i="2"/>
  <c r="B41" i="2"/>
  <c r="B43" i="2"/>
  <c r="B44" i="2"/>
  <c r="B45" i="2"/>
  <c r="B36" i="2"/>
  <c r="Y15" i="2"/>
  <c r="O52" i="2"/>
  <c r="P52" i="2"/>
  <c r="Q52" i="2"/>
  <c r="R52" i="2"/>
  <c r="S52" i="2"/>
  <c r="T52" i="2"/>
  <c r="U52" i="2"/>
  <c r="V52" i="2"/>
  <c r="W52" i="2"/>
  <c r="O53" i="2"/>
  <c r="P53" i="2"/>
  <c r="Q53" i="2"/>
  <c r="R53" i="2"/>
  <c r="S53" i="2"/>
  <c r="T53" i="2"/>
  <c r="U53" i="2"/>
  <c r="V53" i="2"/>
  <c r="W53" i="2"/>
  <c r="O54" i="2"/>
  <c r="P54" i="2"/>
  <c r="Q54" i="2"/>
  <c r="R54" i="2"/>
  <c r="S54" i="2"/>
  <c r="T54" i="2"/>
  <c r="U54" i="2"/>
  <c r="V54" i="2"/>
  <c r="W54" i="2"/>
  <c r="O55" i="2"/>
  <c r="P55" i="2"/>
  <c r="Q55" i="2"/>
  <c r="R55" i="2"/>
  <c r="S55" i="2"/>
  <c r="T55" i="2"/>
  <c r="U55" i="2"/>
  <c r="V55" i="2"/>
  <c r="W55" i="2"/>
  <c r="W56" i="2"/>
  <c r="O57" i="2"/>
  <c r="P57" i="2"/>
  <c r="Q57" i="2"/>
  <c r="R57" i="2"/>
  <c r="S57" i="2"/>
  <c r="T57" i="2"/>
  <c r="U57" i="2"/>
  <c r="V57" i="2"/>
  <c r="W57" i="2"/>
  <c r="W58" i="2"/>
  <c r="O59" i="2"/>
  <c r="P59" i="2"/>
  <c r="Q59" i="2"/>
  <c r="R59" i="2"/>
  <c r="S59" i="2"/>
  <c r="T59" i="2"/>
  <c r="U59" i="2"/>
  <c r="V59" i="2"/>
  <c r="W59" i="2"/>
  <c r="W60" i="2"/>
  <c r="W61" i="2"/>
  <c r="O62" i="2"/>
  <c r="P62" i="2"/>
  <c r="Q62" i="2"/>
  <c r="R62" i="2"/>
  <c r="S62" i="2"/>
  <c r="T62" i="2"/>
  <c r="U62" i="2"/>
  <c r="V62" i="2"/>
  <c r="N53" i="2"/>
  <c r="N54" i="2"/>
  <c r="N55" i="2"/>
  <c r="N57" i="2"/>
  <c r="N59" i="2"/>
  <c r="N62" i="2"/>
  <c r="N52" i="2"/>
  <c r="W47" i="2"/>
  <c r="W30" i="2"/>
  <c r="W62" i="2" s="1"/>
  <c r="V29" i="2"/>
  <c r="V61" i="2" s="1"/>
  <c r="Q29" i="2"/>
  <c r="Q61" i="2" s="1"/>
  <c r="N28" i="2"/>
  <c r="N60" i="2" s="1"/>
  <c r="O28" i="2"/>
  <c r="O60" i="2" s="1"/>
  <c r="T28" i="2"/>
  <c r="T60" i="2" s="1"/>
  <c r="Q28" i="2"/>
  <c r="Q60" i="2" s="1"/>
  <c r="V28" i="2"/>
  <c r="V60" i="2" s="1"/>
  <c r="U28" i="2"/>
  <c r="U60" i="2" s="1"/>
  <c r="P26" i="2"/>
  <c r="P58" i="2" s="1"/>
  <c r="P24" i="2"/>
  <c r="P29" i="2"/>
  <c r="P61" i="2" s="1"/>
  <c r="U26" i="2"/>
  <c r="U58" i="2" s="1"/>
  <c r="U24" i="2"/>
  <c r="U29" i="2"/>
  <c r="U61" i="2" s="1"/>
  <c r="S26" i="2"/>
  <c r="S58" i="2" s="1"/>
  <c r="S24" i="2"/>
  <c r="S29" i="2"/>
  <c r="S61" i="2" s="1"/>
  <c r="S28" i="2"/>
  <c r="S60" i="2" s="1"/>
  <c r="T26" i="2"/>
  <c r="T58" i="2" s="1"/>
  <c r="T24" i="2"/>
  <c r="T29" i="2"/>
  <c r="T61" i="2" s="1"/>
  <c r="O26" i="2"/>
  <c r="O58" i="2" s="1"/>
  <c r="O24" i="2"/>
  <c r="O29" i="2"/>
  <c r="O61" i="2" s="1"/>
  <c r="N26" i="2"/>
  <c r="N58" i="2" s="1"/>
  <c r="N24" i="2"/>
  <c r="N29" i="2"/>
  <c r="N61" i="2" s="1"/>
  <c r="Q26" i="2"/>
  <c r="Q58" i="2" s="1"/>
  <c r="V26" i="2"/>
  <c r="V58" i="2" s="1"/>
  <c r="V24" i="2"/>
  <c r="R24" i="2"/>
  <c r="R29" i="2"/>
  <c r="R61" i="2" s="1"/>
  <c r="R28" i="2"/>
  <c r="R60" i="2" s="1"/>
  <c r="R26" i="2"/>
  <c r="R58" i="2" s="1"/>
  <c r="B12" i="1"/>
  <c r="B11" i="1"/>
  <c r="B9" i="1"/>
  <c r="Z32" i="36" l="1"/>
  <c r="AU65" i="37"/>
  <c r="W33" i="36"/>
  <c r="W10" i="35"/>
  <c r="W12" i="35"/>
  <c r="W16" i="35" s="1"/>
  <c r="Y33" i="36"/>
  <c r="Z13" i="36"/>
  <c r="Z24" i="36"/>
  <c r="Z21" i="36"/>
  <c r="Y23" i="36"/>
  <c r="Z23" i="36"/>
  <c r="Z12" i="36"/>
  <c r="Z9" i="36"/>
  <c r="Z19" i="36"/>
  <c r="B10" i="1"/>
  <c r="A34" i="2" s="1"/>
  <c r="N40" i="2"/>
  <c r="N42" i="2" s="1"/>
  <c r="W31" i="2"/>
  <c r="V31" i="2"/>
  <c r="R31" i="2"/>
  <c r="O56" i="2"/>
  <c r="O31" i="2"/>
  <c r="T31" i="2"/>
  <c r="S31" i="2"/>
  <c r="U31" i="2"/>
  <c r="J18" i="2"/>
  <c r="J2" i="2" s="1"/>
  <c r="E18" i="2"/>
  <c r="E34" i="2" s="1"/>
  <c r="E50" i="2" s="1"/>
  <c r="Q24" i="2"/>
  <c r="Q31" i="2" s="1"/>
  <c r="G18" i="2"/>
  <c r="G2" i="2" s="1"/>
  <c r="F18" i="2"/>
  <c r="F34" i="2" s="1"/>
  <c r="F50" i="2" s="1"/>
  <c r="C18" i="2"/>
  <c r="C34" i="2" s="1"/>
  <c r="C50" i="2" s="1"/>
  <c r="D18" i="2"/>
  <c r="D34" i="2" s="1"/>
  <c r="D50" i="2" s="1"/>
  <c r="I18" i="2"/>
  <c r="I2" i="2" s="1"/>
  <c r="H18" i="2"/>
  <c r="H2" i="2" s="1"/>
  <c r="B55" i="1"/>
  <c r="A50" i="2"/>
  <c r="P40" i="2"/>
  <c r="P42" i="2" s="1"/>
  <c r="P56" i="2"/>
  <c r="R40" i="2"/>
  <c r="R42" i="2" s="1"/>
  <c r="R56" i="2"/>
  <c r="S40" i="2"/>
  <c r="S42" i="2" s="1"/>
  <c r="S56" i="2"/>
  <c r="T40" i="2"/>
  <c r="T42" i="2" s="1"/>
  <c r="T56" i="2"/>
  <c r="U40" i="2"/>
  <c r="U42" i="2" s="1"/>
  <c r="U56" i="2"/>
  <c r="V40" i="2"/>
  <c r="V42" i="2" s="1"/>
  <c r="V56" i="2"/>
  <c r="N56" i="2"/>
  <c r="O40" i="2"/>
  <c r="N31" i="2"/>
  <c r="F2" i="2" l="1"/>
  <c r="I34" i="2"/>
  <c r="I50" i="2" s="1"/>
  <c r="I53" i="2" s="1"/>
  <c r="Q40" i="2"/>
  <c r="Q42" i="2" s="1"/>
  <c r="F42" i="2" s="1"/>
  <c r="N47" i="2"/>
  <c r="C42" i="2"/>
  <c r="E46" i="2"/>
  <c r="D55" i="1"/>
  <c r="B65" i="1"/>
  <c r="D46" i="2"/>
  <c r="F46" i="2"/>
  <c r="E42" i="2"/>
  <c r="H34" i="2"/>
  <c r="H50" i="2" s="1"/>
  <c r="H53" i="2" s="1"/>
  <c r="E40" i="2"/>
  <c r="E2" i="2"/>
  <c r="F40" i="2"/>
  <c r="D40" i="2"/>
  <c r="Q56" i="2"/>
  <c r="F56" i="2" s="1"/>
  <c r="C40" i="2"/>
  <c r="P47" i="2"/>
  <c r="S47" i="2"/>
  <c r="J34" i="2"/>
  <c r="J50" i="2" s="1"/>
  <c r="J58" i="2" s="1"/>
  <c r="T47" i="2"/>
  <c r="D2" i="2"/>
  <c r="C46" i="2"/>
  <c r="U47" i="2"/>
  <c r="C2" i="2"/>
  <c r="K18" i="2"/>
  <c r="K2" i="2" s="1"/>
  <c r="G34" i="2"/>
  <c r="G50" i="2" s="1"/>
  <c r="G52" i="2" s="1"/>
  <c r="R47" i="2"/>
  <c r="V47" i="2"/>
  <c r="C58" i="2"/>
  <c r="F62" i="2"/>
  <c r="F55" i="2"/>
  <c r="F53" i="2"/>
  <c r="D59" i="2"/>
  <c r="E54" i="2"/>
  <c r="D57" i="2"/>
  <c r="C54" i="2"/>
  <c r="C62" i="2"/>
  <c r="F52" i="2"/>
  <c r="F54" i="2"/>
  <c r="E57" i="2"/>
  <c r="C55" i="2"/>
  <c r="C59" i="2"/>
  <c r="E52" i="2"/>
  <c r="E53" i="2"/>
  <c r="E55" i="2"/>
  <c r="E62" i="2"/>
  <c r="F57" i="2"/>
  <c r="E59" i="2"/>
  <c r="C56" i="2"/>
  <c r="C52" i="2"/>
  <c r="D52" i="2"/>
  <c r="D53" i="2"/>
  <c r="D54" i="2"/>
  <c r="D55" i="2"/>
  <c r="F59" i="2"/>
  <c r="D62" i="2"/>
  <c r="C53" i="2"/>
  <c r="C57" i="2"/>
  <c r="E56" i="2"/>
  <c r="F61" i="2"/>
  <c r="F60" i="2"/>
  <c r="F58" i="2"/>
  <c r="E61" i="2"/>
  <c r="E58" i="2"/>
  <c r="D60" i="2"/>
  <c r="D61" i="2"/>
  <c r="D56" i="2"/>
  <c r="D58" i="2"/>
  <c r="C61" i="2"/>
  <c r="C60" i="2"/>
  <c r="O42" i="2"/>
  <c r="D42" i="2" s="1"/>
  <c r="C65" i="1" l="1"/>
  <c r="D65" i="1" s="1"/>
  <c r="I58" i="2"/>
  <c r="I54" i="2"/>
  <c r="I46" i="2"/>
  <c r="I57" i="2"/>
  <c r="I60" i="2"/>
  <c r="I61" i="2"/>
  <c r="I62" i="2"/>
  <c r="I52" i="2"/>
  <c r="I40" i="2"/>
  <c r="I56" i="2"/>
  <c r="I55" i="2"/>
  <c r="Q47" i="2"/>
  <c r="I42" i="2"/>
  <c r="G60" i="2"/>
  <c r="I59" i="2"/>
  <c r="H57" i="2"/>
  <c r="H60" i="2"/>
  <c r="H62" i="2"/>
  <c r="H61" i="2"/>
  <c r="H46" i="2"/>
  <c r="J55" i="2"/>
  <c r="F47" i="2"/>
  <c r="L18" i="2"/>
  <c r="L2" i="2" s="1"/>
  <c r="O47" i="2"/>
  <c r="E47" i="2"/>
  <c r="C47" i="2"/>
  <c r="K34" i="2"/>
  <c r="K50" i="2" s="1"/>
  <c r="K62" i="2" s="1"/>
  <c r="H52" i="2"/>
  <c r="H40" i="2"/>
  <c r="H56" i="2"/>
  <c r="H59" i="2"/>
  <c r="H54" i="2"/>
  <c r="H42" i="2"/>
  <c r="D47" i="2"/>
  <c r="H58" i="2"/>
  <c r="H55" i="2"/>
  <c r="J42" i="2"/>
  <c r="G46" i="2"/>
  <c r="G56" i="2"/>
  <c r="J62" i="2"/>
  <c r="J54" i="2"/>
  <c r="J57" i="2"/>
  <c r="J52" i="2"/>
  <c r="G40" i="2"/>
  <c r="J56" i="2"/>
  <c r="J59" i="2"/>
  <c r="J53" i="2"/>
  <c r="J61" i="2"/>
  <c r="G61" i="2"/>
  <c r="G42" i="2"/>
  <c r="J40" i="2"/>
  <c r="J60" i="2"/>
  <c r="J46" i="2"/>
  <c r="G58" i="2"/>
  <c r="G62" i="2"/>
  <c r="G59" i="2"/>
  <c r="G57" i="2"/>
  <c r="G55" i="2"/>
  <c r="G54" i="2"/>
  <c r="G53" i="2"/>
  <c r="C63" i="2"/>
  <c r="F63" i="2"/>
  <c r="I47" i="2"/>
  <c r="D63" i="2"/>
  <c r="B8" i="1"/>
  <c r="I63" i="2" l="1"/>
  <c r="K57" i="2"/>
  <c r="K52" i="2"/>
  <c r="L34" i="2"/>
  <c r="L50" i="2" s="1"/>
  <c r="L60" i="2" s="1"/>
  <c r="K46" i="2"/>
  <c r="K55" i="2"/>
  <c r="K42" i="2"/>
  <c r="K56" i="2"/>
  <c r="K58" i="2"/>
  <c r="K61" i="2"/>
  <c r="K53" i="2"/>
  <c r="K59" i="2"/>
  <c r="K60" i="2"/>
  <c r="K40" i="2"/>
  <c r="K54" i="2"/>
  <c r="H63" i="2"/>
  <c r="H47" i="2"/>
  <c r="G47" i="2"/>
  <c r="G63" i="2"/>
  <c r="J47" i="2"/>
  <c r="J63" i="2"/>
  <c r="B7" i="1"/>
  <c r="A2" i="2" s="1"/>
  <c r="A18" i="2"/>
  <c r="L62" i="2"/>
  <c r="B62" i="2" s="1"/>
  <c r="B51" i="1" s="1"/>
  <c r="L54" i="2" l="1"/>
  <c r="B54" i="2" s="1"/>
  <c r="L40" i="2"/>
  <c r="B40" i="2" s="1"/>
  <c r="L57" i="2"/>
  <c r="B57" i="2" s="1"/>
  <c r="L42" i="2"/>
  <c r="B42" i="2" s="1"/>
  <c r="B42" i="1" s="1"/>
  <c r="D42" i="1" s="1"/>
  <c r="L58" i="2"/>
  <c r="B58" i="2" s="1"/>
  <c r="B48" i="1" s="1"/>
  <c r="D48" i="1" s="1"/>
  <c r="L53" i="2"/>
  <c r="B53" i="2" s="1"/>
  <c r="L61" i="2"/>
  <c r="B61" i="2" s="1"/>
  <c r="B50" i="1" s="1"/>
  <c r="D50" i="1" s="1"/>
  <c r="L46" i="2"/>
  <c r="B46" i="2" s="1"/>
  <c r="B43" i="1" s="1"/>
  <c r="D43" i="1" s="1"/>
  <c r="L55" i="2"/>
  <c r="B55" i="2" s="1"/>
  <c r="L59" i="2"/>
  <c r="B59" i="2" s="1"/>
  <c r="L52" i="2"/>
  <c r="L56" i="2"/>
  <c r="B56" i="2" s="1"/>
  <c r="B47" i="1" s="1"/>
  <c r="D47" i="1" s="1"/>
  <c r="K47" i="2"/>
  <c r="K63" i="2"/>
  <c r="D51" i="1"/>
  <c r="C13" i="2"/>
  <c r="H13" i="2"/>
  <c r="K13" i="2"/>
  <c r="G13" i="2"/>
  <c r="D13" i="2"/>
  <c r="J13" i="2"/>
  <c r="F13" i="2"/>
  <c r="L13" i="2"/>
  <c r="I13" i="2"/>
  <c r="E13" i="2"/>
  <c r="G21" i="2"/>
  <c r="G22" i="2"/>
  <c r="G23" i="2"/>
  <c r="G24" i="2"/>
  <c r="G25" i="2"/>
  <c r="H21" i="2"/>
  <c r="H22" i="2"/>
  <c r="H23" i="2"/>
  <c r="H24" i="2"/>
  <c r="H25" i="2"/>
  <c r="I21" i="2"/>
  <c r="I22" i="2"/>
  <c r="I23" i="2"/>
  <c r="I24" i="2"/>
  <c r="I25" i="2"/>
  <c r="J21" i="2"/>
  <c r="J22" i="2"/>
  <c r="J23" i="2"/>
  <c r="J24" i="2"/>
  <c r="J25" i="2"/>
  <c r="C20" i="2"/>
  <c r="C30" i="2"/>
  <c r="C29" i="2"/>
  <c r="C28" i="2"/>
  <c r="C27" i="2"/>
  <c r="C26" i="2"/>
  <c r="C25" i="2"/>
  <c r="C24" i="2"/>
  <c r="C23" i="2"/>
  <c r="C22" i="2"/>
  <c r="C21" i="2"/>
  <c r="D20" i="2"/>
  <c r="D30" i="2"/>
  <c r="D29" i="2"/>
  <c r="D28" i="2"/>
  <c r="D27" i="2"/>
  <c r="D26" i="2"/>
  <c r="D25" i="2"/>
  <c r="D24" i="2"/>
  <c r="D23" i="2"/>
  <c r="D22" i="2"/>
  <c r="D21" i="2"/>
  <c r="E20" i="2"/>
  <c r="E30" i="2"/>
  <c r="E29" i="2"/>
  <c r="E27" i="2"/>
  <c r="E26" i="2"/>
  <c r="E25" i="2"/>
  <c r="E24" i="2"/>
  <c r="E23" i="2"/>
  <c r="E22" i="2"/>
  <c r="E21" i="2"/>
  <c r="F20" i="2"/>
  <c r="F30" i="2"/>
  <c r="F29" i="2"/>
  <c r="F28" i="2"/>
  <c r="F27" i="2"/>
  <c r="F26" i="2"/>
  <c r="F25" i="2"/>
  <c r="F24" i="2"/>
  <c r="F23" i="2"/>
  <c r="F22" i="2"/>
  <c r="F21" i="2"/>
  <c r="G20" i="2"/>
  <c r="J20" i="2"/>
  <c r="I20" i="2"/>
  <c r="H20" i="2"/>
  <c r="J30" i="2"/>
  <c r="I30" i="2"/>
  <c r="H30" i="2"/>
  <c r="G30" i="2"/>
  <c r="J29" i="2"/>
  <c r="I29" i="2"/>
  <c r="H29" i="2"/>
  <c r="G29" i="2"/>
  <c r="J28" i="2"/>
  <c r="I28" i="2"/>
  <c r="H28" i="2"/>
  <c r="G28" i="2"/>
  <c r="J27" i="2"/>
  <c r="I27" i="2"/>
  <c r="H27" i="2"/>
  <c r="G27" i="2"/>
  <c r="J26" i="2"/>
  <c r="I26" i="2"/>
  <c r="H26" i="2"/>
  <c r="G26" i="2"/>
  <c r="K21" i="2"/>
  <c r="K22" i="2"/>
  <c r="K23" i="2"/>
  <c r="K24" i="2"/>
  <c r="K25" i="2"/>
  <c r="K26" i="2"/>
  <c r="K27" i="2"/>
  <c r="K28" i="2"/>
  <c r="K29" i="2"/>
  <c r="K30" i="2"/>
  <c r="K20" i="2"/>
  <c r="L21" i="2"/>
  <c r="L22" i="2"/>
  <c r="L23" i="2"/>
  <c r="L24" i="2"/>
  <c r="L25" i="2"/>
  <c r="L26" i="2"/>
  <c r="L27" i="2"/>
  <c r="L28" i="2"/>
  <c r="L29" i="2"/>
  <c r="L30" i="2"/>
  <c r="L20" i="2"/>
  <c r="L47" i="2" l="1"/>
  <c r="L63" i="2"/>
  <c r="B52" i="2"/>
  <c r="B13" i="2"/>
  <c r="B27" i="2"/>
  <c r="B23" i="2"/>
  <c r="B30" i="2"/>
  <c r="B36" i="1" s="1"/>
  <c r="D36" i="1" s="1"/>
  <c r="B26" i="2"/>
  <c r="B33" i="1" s="1"/>
  <c r="D33" i="1" s="1"/>
  <c r="B29" i="2"/>
  <c r="B35" i="1" s="1"/>
  <c r="D35" i="1" s="1"/>
  <c r="B25" i="2"/>
  <c r="B21" i="2"/>
  <c r="B22" i="2"/>
  <c r="B24" i="2"/>
  <c r="B32" i="1" s="1"/>
  <c r="D32" i="1" s="1"/>
  <c r="K31" i="2"/>
  <c r="B20" i="2"/>
  <c r="L31" i="2"/>
  <c r="H31" i="2"/>
  <c r="I31" i="2"/>
  <c r="J31" i="2"/>
  <c r="G31" i="2"/>
  <c r="F31" i="2"/>
  <c r="D31" i="2"/>
  <c r="C31" i="2"/>
  <c r="B47" i="2"/>
  <c r="B41" i="1"/>
  <c r="D41" i="1" l="1"/>
  <c r="B44" i="1"/>
  <c r="B63" i="1" s="1"/>
  <c r="AH15" i="2"/>
  <c r="AG15" i="2"/>
  <c r="AF15" i="2"/>
  <c r="AE15" i="2"/>
  <c r="AD15" i="2"/>
  <c r="AC15" i="2"/>
  <c r="AB15" i="2"/>
  <c r="AA15" i="2"/>
  <c r="Z15" i="2"/>
  <c r="AK15" i="2" s="1"/>
  <c r="C63" i="1" l="1"/>
  <c r="D63" i="1" s="1"/>
  <c r="C42" i="1"/>
  <c r="C43" i="1"/>
  <c r="C41" i="1"/>
  <c r="O4" i="2"/>
  <c r="D4" i="2" s="1"/>
  <c r="O5" i="2"/>
  <c r="D5" i="2" s="1"/>
  <c r="O6" i="2"/>
  <c r="D6" i="2" s="1"/>
  <c r="O7" i="2"/>
  <c r="D7" i="2" s="1"/>
  <c r="O8" i="2"/>
  <c r="D8" i="2" s="1"/>
  <c r="O9" i="2"/>
  <c r="D9" i="2" s="1"/>
  <c r="O10" i="2"/>
  <c r="D10" i="2" s="1"/>
  <c r="O11" i="2"/>
  <c r="D11" i="2" s="1"/>
  <c r="O12" i="2"/>
  <c r="D12" i="2" s="1"/>
  <c r="O14" i="2"/>
  <c r="D14" i="2" s="1"/>
  <c r="P4" i="2"/>
  <c r="E4" i="2" s="1"/>
  <c r="P5" i="2"/>
  <c r="E5" i="2" s="1"/>
  <c r="P6" i="2"/>
  <c r="E6" i="2" s="1"/>
  <c r="P7" i="2"/>
  <c r="E7" i="2" s="1"/>
  <c r="P8" i="2"/>
  <c r="E8" i="2" s="1"/>
  <c r="P9" i="2"/>
  <c r="E9" i="2" s="1"/>
  <c r="P10" i="2"/>
  <c r="E10" i="2" s="1"/>
  <c r="P11" i="2"/>
  <c r="E11" i="2" s="1"/>
  <c r="P12" i="2"/>
  <c r="E12" i="2" s="1"/>
  <c r="P14" i="2"/>
  <c r="E14" i="2" s="1"/>
  <c r="Q4" i="2"/>
  <c r="F4" i="2" s="1"/>
  <c r="Q5" i="2"/>
  <c r="F5" i="2" s="1"/>
  <c r="Q6" i="2"/>
  <c r="F6" i="2" s="1"/>
  <c r="Q7" i="2"/>
  <c r="F7" i="2" s="1"/>
  <c r="Q8" i="2"/>
  <c r="F8" i="2" s="1"/>
  <c r="Q9" i="2"/>
  <c r="F9" i="2" s="1"/>
  <c r="Q10" i="2"/>
  <c r="F10" i="2" s="1"/>
  <c r="Q11" i="2"/>
  <c r="F11" i="2" s="1"/>
  <c r="Q12" i="2"/>
  <c r="F12" i="2" s="1"/>
  <c r="Q14" i="2"/>
  <c r="F14" i="2" s="1"/>
  <c r="R4" i="2"/>
  <c r="G4" i="2" s="1"/>
  <c r="R5" i="2"/>
  <c r="G5" i="2" s="1"/>
  <c r="R6" i="2"/>
  <c r="G6" i="2" s="1"/>
  <c r="R7" i="2"/>
  <c r="G7" i="2" s="1"/>
  <c r="R8" i="2"/>
  <c r="G8" i="2" s="1"/>
  <c r="R9" i="2"/>
  <c r="G9" i="2" s="1"/>
  <c r="R10" i="2"/>
  <c r="G10" i="2" s="1"/>
  <c r="R11" i="2"/>
  <c r="G11" i="2" s="1"/>
  <c r="R12" i="2"/>
  <c r="G12" i="2" s="1"/>
  <c r="R14" i="2"/>
  <c r="G14" i="2" s="1"/>
  <c r="S4" i="2"/>
  <c r="H4" i="2" s="1"/>
  <c r="S5" i="2"/>
  <c r="H5" i="2" s="1"/>
  <c r="S6" i="2"/>
  <c r="H6" i="2" s="1"/>
  <c r="S7" i="2"/>
  <c r="H7" i="2" s="1"/>
  <c r="S8" i="2"/>
  <c r="H8" i="2" s="1"/>
  <c r="S9" i="2"/>
  <c r="H9" i="2" s="1"/>
  <c r="S10" i="2"/>
  <c r="H10" i="2" s="1"/>
  <c r="S11" i="2"/>
  <c r="H11" i="2" s="1"/>
  <c r="S12" i="2"/>
  <c r="H12" i="2" s="1"/>
  <c r="S14" i="2"/>
  <c r="H14" i="2" s="1"/>
  <c r="T4" i="2"/>
  <c r="I4" i="2" s="1"/>
  <c r="T5" i="2"/>
  <c r="I5" i="2" s="1"/>
  <c r="T6" i="2"/>
  <c r="I6" i="2" s="1"/>
  <c r="T7" i="2"/>
  <c r="I7" i="2" s="1"/>
  <c r="T8" i="2"/>
  <c r="I8" i="2" s="1"/>
  <c r="T9" i="2"/>
  <c r="I9" i="2" s="1"/>
  <c r="T10" i="2"/>
  <c r="I10" i="2" s="1"/>
  <c r="T11" i="2"/>
  <c r="I11" i="2" s="1"/>
  <c r="T12" i="2"/>
  <c r="I12" i="2" s="1"/>
  <c r="T14" i="2"/>
  <c r="I14" i="2" s="1"/>
  <c r="U4" i="2"/>
  <c r="J4" i="2" s="1"/>
  <c r="U5" i="2"/>
  <c r="J5" i="2" s="1"/>
  <c r="U6" i="2"/>
  <c r="J6" i="2" s="1"/>
  <c r="U7" i="2"/>
  <c r="J7" i="2" s="1"/>
  <c r="U8" i="2"/>
  <c r="J8" i="2" s="1"/>
  <c r="U9" i="2"/>
  <c r="J9" i="2" s="1"/>
  <c r="U10" i="2"/>
  <c r="J10" i="2" s="1"/>
  <c r="U11" i="2"/>
  <c r="J11" i="2" s="1"/>
  <c r="U12" i="2"/>
  <c r="J12" i="2" s="1"/>
  <c r="U14" i="2"/>
  <c r="J14" i="2" s="1"/>
  <c r="V4" i="2"/>
  <c r="K4" i="2" s="1"/>
  <c r="V5" i="2"/>
  <c r="K5" i="2" s="1"/>
  <c r="V6" i="2"/>
  <c r="K6" i="2" s="1"/>
  <c r="V7" i="2"/>
  <c r="K7" i="2" s="1"/>
  <c r="V8" i="2"/>
  <c r="K8" i="2" s="1"/>
  <c r="V9" i="2"/>
  <c r="K9" i="2" s="1"/>
  <c r="V10" i="2"/>
  <c r="K10" i="2" s="1"/>
  <c r="V11" i="2"/>
  <c r="K11" i="2" s="1"/>
  <c r="V12" i="2"/>
  <c r="K12" i="2" s="1"/>
  <c r="V14" i="2"/>
  <c r="K14" i="2" s="1"/>
  <c r="W4" i="2"/>
  <c r="L4" i="2" s="1"/>
  <c r="W5" i="2"/>
  <c r="L5" i="2" s="1"/>
  <c r="W6" i="2"/>
  <c r="L6" i="2" s="1"/>
  <c r="W7" i="2"/>
  <c r="L7" i="2" s="1"/>
  <c r="W8" i="2"/>
  <c r="L8" i="2" s="1"/>
  <c r="W9" i="2"/>
  <c r="L9" i="2" s="1"/>
  <c r="W10" i="2"/>
  <c r="L10" i="2" s="1"/>
  <c r="W11" i="2"/>
  <c r="L11" i="2" s="1"/>
  <c r="W12" i="2"/>
  <c r="L12" i="2" s="1"/>
  <c r="W14" i="2"/>
  <c r="L14" i="2" s="1"/>
  <c r="L15" i="2" l="1"/>
  <c r="K15" i="2"/>
  <c r="J15" i="2"/>
  <c r="I15" i="2"/>
  <c r="H15" i="2"/>
  <c r="G15" i="2"/>
  <c r="F15" i="2"/>
  <c r="E15" i="2"/>
  <c r="D15" i="2"/>
  <c r="W15" i="2"/>
  <c r="V15" i="2"/>
  <c r="U15" i="2"/>
  <c r="T15" i="2"/>
  <c r="S15" i="2"/>
  <c r="R15" i="2"/>
  <c r="Q15" i="2"/>
  <c r="P15" i="2"/>
  <c r="O15" i="2"/>
  <c r="P28" i="2"/>
  <c r="P31" i="2" s="1"/>
  <c r="E28" i="2" l="1"/>
  <c r="P60" i="2"/>
  <c r="E60" i="2" s="1"/>
  <c r="N5" i="2"/>
  <c r="C5" i="2" s="1"/>
  <c r="B5" i="2" s="1"/>
  <c r="B19" i="1" s="1"/>
  <c r="N6" i="2"/>
  <c r="C6" i="2" s="1"/>
  <c r="B6" i="2" s="1"/>
  <c r="B20" i="1" s="1"/>
  <c r="N7" i="2"/>
  <c r="C7" i="2" s="1"/>
  <c r="B7" i="2" s="1"/>
  <c r="B21" i="1" s="1"/>
  <c r="N8" i="2"/>
  <c r="C8" i="2" s="1"/>
  <c r="B8" i="2" s="1"/>
  <c r="B22" i="1" s="1"/>
  <c r="N9" i="2"/>
  <c r="C9" i="2" s="1"/>
  <c r="B9" i="2" s="1"/>
  <c r="B23" i="1" s="1"/>
  <c r="N10" i="2"/>
  <c r="C10" i="2" s="1"/>
  <c r="B10" i="2" s="1"/>
  <c r="B24" i="1" s="1"/>
  <c r="N11" i="2"/>
  <c r="C11" i="2" s="1"/>
  <c r="B11" i="2" s="1"/>
  <c r="B25" i="1" s="1"/>
  <c r="N12" i="2"/>
  <c r="C12" i="2" s="1"/>
  <c r="B12" i="2" s="1"/>
  <c r="B26" i="1" s="1"/>
  <c r="N14" i="2"/>
  <c r="C14" i="2"/>
  <c r="B14" i="2" s="1"/>
  <c r="B27" i="1" s="1"/>
  <c r="N4" i="2"/>
  <c r="N15" i="2" l="1"/>
  <c r="C4" i="2"/>
  <c r="C15" i="2" s="1"/>
  <c r="D27" i="1"/>
  <c r="D25" i="1"/>
  <c r="D23" i="1"/>
  <c r="D21" i="1"/>
  <c r="D19" i="1"/>
  <c r="D26" i="1"/>
  <c r="D24" i="1"/>
  <c r="D22" i="1"/>
  <c r="D20" i="1"/>
  <c r="E63" i="2"/>
  <c r="B60" i="2"/>
  <c r="E31" i="2"/>
  <c r="B28" i="2"/>
  <c r="B4" i="2" l="1"/>
  <c r="B15" i="2" s="1"/>
  <c r="B28" i="1" s="1"/>
  <c r="B63" i="2"/>
  <c r="B52" i="1" s="1"/>
  <c r="B49" i="1"/>
  <c r="B31" i="2"/>
  <c r="B37" i="1" s="1"/>
  <c r="B34" i="1"/>
  <c r="B18" i="1" l="1"/>
  <c r="C18" i="1" s="1"/>
  <c r="B64" i="1"/>
  <c r="C51" i="1"/>
  <c r="B62" i="1"/>
  <c r="C62" i="1" s="1"/>
  <c r="D62" i="1" s="1"/>
  <c r="B61" i="1"/>
  <c r="C61" i="1" s="1"/>
  <c r="D61" i="1" s="1"/>
  <c r="C27" i="1"/>
  <c r="C23" i="1"/>
  <c r="C19" i="1"/>
  <c r="C24" i="1"/>
  <c r="C20" i="1"/>
  <c r="C25" i="1"/>
  <c r="C21" i="1"/>
  <c r="C26" i="1"/>
  <c r="C22" i="1"/>
  <c r="D34" i="1"/>
  <c r="C34" i="1"/>
  <c r="C32" i="1"/>
  <c r="C36" i="1"/>
  <c r="C33" i="1"/>
  <c r="C35" i="1"/>
  <c r="D18" i="1"/>
  <c r="D49" i="1"/>
  <c r="C49" i="1"/>
  <c r="C50" i="1"/>
  <c r="C48" i="1"/>
  <c r="C47" i="1"/>
  <c r="C64" i="1" l="1"/>
  <c r="D64" i="1" s="1"/>
  <c r="M57" i="44" l="1"/>
  <c r="F39" i="44"/>
  <c r="F11" i="44" s="1"/>
  <c r="K39" i="44"/>
  <c r="K11" i="44"/>
  <c r="F44" i="44"/>
  <c r="K44" i="44"/>
  <c r="F56" i="44"/>
  <c r="F28" i="44" s="1"/>
  <c r="M56" i="44"/>
  <c r="R56" i="44"/>
  <c r="F55" i="44"/>
  <c r="F27" i="44" s="1"/>
  <c r="M55" i="44"/>
  <c r="R55" i="44"/>
  <c r="F54" i="44"/>
  <c r="F26" i="44" s="1"/>
  <c r="M54" i="44"/>
  <c r="R54" i="44"/>
  <c r="F53" i="44"/>
  <c r="F25" i="44" s="1"/>
  <c r="M53" i="44"/>
  <c r="R53" i="44"/>
  <c r="F52" i="44"/>
  <c r="F24" i="44" s="1"/>
  <c r="M52" i="44"/>
  <c r="R52" i="44"/>
  <c r="F51" i="44"/>
  <c r="F23" i="44" s="1"/>
  <c r="M51" i="44"/>
  <c r="R51" i="44"/>
  <c r="F50" i="44"/>
  <c r="F22" i="44" s="1"/>
  <c r="M50" i="44"/>
  <c r="R50" i="44"/>
  <c r="F49" i="44"/>
  <c r="F21" i="44" s="1"/>
  <c r="M49" i="44"/>
  <c r="R49" i="44"/>
  <c r="F48" i="44"/>
  <c r="F20" i="44" s="1"/>
  <c r="M48" i="44"/>
  <c r="R48" i="44"/>
  <c r="F47" i="44"/>
  <c r="F19" i="44" s="1"/>
  <c r="M47" i="44"/>
  <c r="R47" i="44"/>
  <c r="F46" i="44"/>
  <c r="F18" i="44" s="1"/>
  <c r="M46" i="44"/>
  <c r="R46" i="44"/>
  <c r="F45" i="44"/>
  <c r="F17" i="44" s="1"/>
  <c r="M45" i="44"/>
  <c r="R45" i="44"/>
  <c r="F42" i="44"/>
  <c r="F14" i="44" s="1"/>
  <c r="M42" i="44"/>
  <c r="R42" i="44"/>
  <c r="F41" i="44"/>
  <c r="F13" i="44" s="1"/>
  <c r="M41" i="44"/>
  <c r="R41" i="44"/>
  <c r="F40" i="44"/>
  <c r="F12" i="44" s="1"/>
  <c r="M40" i="44"/>
  <c r="R40" i="44"/>
  <c r="F43" i="44"/>
  <c r="F15" i="44" s="1"/>
  <c r="M43" i="44"/>
  <c r="R43" i="44"/>
  <c r="F38" i="44"/>
  <c r="K38" i="44" s="1"/>
  <c r="D8" i="51"/>
  <c r="E8" i="51" s="1"/>
  <c r="G8" i="51"/>
  <c r="G12" i="51" s="1"/>
  <c r="H8" i="51"/>
  <c r="H12" i="51"/>
  <c r="K10" i="44" l="1"/>
  <c r="M38" i="44"/>
  <c r="R38" i="44" s="1"/>
  <c r="R57" i="44" s="1"/>
  <c r="F10" i="44"/>
  <c r="F29" i="44" s="1"/>
  <c r="F4" i="44" s="1"/>
  <c r="D12" i="51"/>
  <c r="E12" i="51" s="1"/>
  <c r="K41" i="44"/>
  <c r="K13" i="44" s="1"/>
  <c r="K40" i="44"/>
  <c r="K12" i="44" s="1"/>
  <c r="K56" i="44"/>
  <c r="K28" i="44" s="1"/>
  <c r="K55" i="44"/>
  <c r="K27" i="44" s="1"/>
  <c r="K54" i="44"/>
  <c r="K26" i="44" s="1"/>
  <c r="K53" i="44"/>
  <c r="K25" i="44" s="1"/>
  <c r="K52" i="44"/>
  <c r="K24" i="44" s="1"/>
  <c r="K51" i="44"/>
  <c r="K23" i="44" s="1"/>
  <c r="K50" i="44"/>
  <c r="K22" i="44" s="1"/>
  <c r="K49" i="44"/>
  <c r="K21" i="44" s="1"/>
  <c r="K48" i="44"/>
  <c r="K20" i="44" s="1"/>
  <c r="K47" i="44"/>
  <c r="K19" i="44" s="1"/>
  <c r="K46" i="44"/>
  <c r="K18" i="44" s="1"/>
  <c r="K45" i="44"/>
  <c r="K17" i="44" s="1"/>
  <c r="K43" i="44"/>
  <c r="K15" i="44" s="1"/>
  <c r="K42" i="44"/>
  <c r="K14" i="44" s="1"/>
  <c r="K29" i="44" l="1"/>
  <c r="K4" i="44" s="1"/>
  <c r="K57" i="44"/>
</calcChain>
</file>

<file path=xl/comments1.xml><?xml version="1.0" encoding="utf-8"?>
<comments xmlns="http://schemas.openxmlformats.org/spreadsheetml/2006/main">
  <authors>
    <author>Juliette Juillerat</author>
  </authors>
  <commentList>
    <comment ref="D8" authorId="0">
      <text>
        <r>
          <rPr>
            <b/>
            <sz val="9"/>
            <color indexed="81"/>
            <rFont val="Tahoma"/>
            <charset val="1"/>
          </rPr>
          <t>Juliette Juillerat:</t>
        </r>
        <r>
          <rPr>
            <sz val="9"/>
            <color indexed="81"/>
            <rFont val="Tahoma"/>
            <charset val="1"/>
          </rPr>
          <t xml:space="preserve">
The total in this cell would be the total kerosene use in CC assuming an even distribution of kerosene across Vermont's population.
However, kerosene is predominately used in mobile homes for space heating. Therefore, using the proportion of mobile homes should result in a more accurate estimate. The data highlighted in yellow represents the kerosene consumption by town, allocated using the number of mobile homes units, in the County and in each town.</t>
        </r>
      </text>
    </comment>
  </commentList>
</comments>
</file>

<file path=xl/comments2.xml><?xml version="1.0" encoding="utf-8"?>
<comments xmlns="http://schemas.openxmlformats.org/spreadsheetml/2006/main">
  <authors>
    <author>Alison Hollingsworth</author>
  </authors>
  <commentList>
    <comment ref="W113" authorId="0">
      <text>
        <r>
          <rPr>
            <b/>
            <sz val="9"/>
            <color indexed="81"/>
            <rFont val="Tahoma"/>
            <family val="2"/>
          </rPr>
          <t>Alison Hollingsworth:</t>
        </r>
        <r>
          <rPr>
            <sz val="9"/>
            <color indexed="81"/>
            <rFont val="Tahoma"/>
            <family val="2"/>
          </rPr>
          <t xml:space="preserve">
is this the number to compare with total natural gas btus? EIA says 3.2 trillion btu in 2009. so is this about a trillion btu off? There are 16 towns in VT with NG, only 11 are in CC. do we need to account for that somewhere?</t>
        </r>
      </text>
    </comment>
  </commentList>
</comments>
</file>

<file path=xl/comments3.xml><?xml version="1.0" encoding="utf-8"?>
<comments xmlns="http://schemas.openxmlformats.org/spreadsheetml/2006/main">
  <authors>
    <author>Administrator</author>
  </authors>
  <commentList>
    <comment ref="B44" authorId="0">
      <text>
        <r>
          <rPr>
            <b/>
            <sz val="9"/>
            <color indexed="81"/>
            <rFont val="Tahoma"/>
            <family val="2"/>
          </rPr>
          <t>Administrator:</t>
        </r>
        <r>
          <rPr>
            <sz val="9"/>
            <color indexed="81"/>
            <rFont val="Tahoma"/>
            <family val="2"/>
          </rPr>
          <t xml:space="preserve">
professional judgment</t>
        </r>
      </text>
    </comment>
  </commentList>
</comments>
</file>

<file path=xl/sharedStrings.xml><?xml version="1.0" encoding="utf-8"?>
<sst xmlns="http://schemas.openxmlformats.org/spreadsheetml/2006/main" count="1753" uniqueCount="533">
  <si>
    <t>TOTAL CONSUMPTION</t>
  </si>
  <si>
    <t>Natural Gas</t>
  </si>
  <si>
    <t>Other</t>
  </si>
  <si>
    <t>Office</t>
  </si>
  <si>
    <t>Retail</t>
  </si>
  <si>
    <t>Grocery</t>
  </si>
  <si>
    <t>Warehouse</t>
  </si>
  <si>
    <t>Education</t>
  </si>
  <si>
    <t>Health</t>
  </si>
  <si>
    <t>Lodging</t>
  </si>
  <si>
    <t>Restaurant</t>
  </si>
  <si>
    <t>Commercial</t>
  </si>
  <si>
    <t>Industrial</t>
  </si>
  <si>
    <t>Indoor Lighting</t>
  </si>
  <si>
    <t>Outdoor Lighting</t>
  </si>
  <si>
    <t>Cooling</t>
  </si>
  <si>
    <t>Ventilation</t>
  </si>
  <si>
    <t>Water Heating</t>
  </si>
  <si>
    <t>Refrigeration</t>
  </si>
  <si>
    <t>Space Heating</t>
  </si>
  <si>
    <t>Office Equipment</t>
  </si>
  <si>
    <t>Miscellaneous</t>
  </si>
  <si>
    <t>Industrial Process</t>
  </si>
  <si>
    <t>Total</t>
  </si>
  <si>
    <r>
      <t>kWh Usage:</t>
    </r>
    <r>
      <rPr>
        <sz val="10"/>
        <color indexed="8"/>
        <rFont val="Arial"/>
        <family val="2"/>
      </rPr>
      <t xml:space="preserve"> Residential Sector</t>
    </r>
  </si>
  <si>
    <r>
      <t>kWh Savings:</t>
    </r>
    <r>
      <rPr>
        <sz val="10"/>
        <color indexed="8"/>
        <rFont val="Arial"/>
        <family val="2"/>
      </rPr>
      <t xml:space="preserve"> Commercial &amp; Industrial Sector</t>
    </r>
  </si>
  <si>
    <t>BOLTON</t>
  </si>
  <si>
    <t>BUELS GORE</t>
  </si>
  <si>
    <t>BURLINGTON</t>
  </si>
  <si>
    <t>CHARLOTTE</t>
  </si>
  <si>
    <t>COLCHESTER</t>
  </si>
  <si>
    <t>ESSEX</t>
  </si>
  <si>
    <t>ESSEX JUNCTION</t>
  </si>
  <si>
    <t>HINESBURG</t>
  </si>
  <si>
    <t>HUNTINGTON</t>
  </si>
  <si>
    <t>JERICHO</t>
  </si>
  <si>
    <t>MILTON</t>
  </si>
  <si>
    <t>RICHMOND</t>
  </si>
  <si>
    <t>SHELBURNE</t>
  </si>
  <si>
    <t>SOUTH BURLINGTON</t>
  </si>
  <si>
    <t>ST. GEORGE</t>
  </si>
  <si>
    <t>UNDERHILL</t>
  </si>
  <si>
    <t>WESTFORD</t>
  </si>
  <si>
    <t>WILLISTON</t>
  </si>
  <si>
    <t>WINOOSKI</t>
  </si>
  <si>
    <t xml:space="preserve"> </t>
  </si>
  <si>
    <t>Q</t>
  </si>
  <si>
    <t>http://205.254.135.24/state/seds/hf.jsp?incfile=sep_use/ind/use_ind_VT.html&amp;mstate=Vermont</t>
  </si>
  <si>
    <t>LPG</t>
  </si>
  <si>
    <t>Total </t>
  </si>
  <si>
    <t>Petroleum</t>
  </si>
  <si>
    <t>Distillate Fuel Oil</t>
  </si>
  <si>
    <t>Motor Gasoline c</t>
  </si>
  <si>
    <t>Residual Fuel Oil</t>
  </si>
  <si>
    <t>Wood and waste</t>
  </si>
  <si>
    <t>trillion BTU</t>
  </si>
  <si>
    <t>Released: September, 2008</t>
  </si>
  <si>
    <t>Cook-
ing</t>
  </si>
  <si>
    <t>Principal Building Activity</t>
  </si>
  <si>
    <t>Education ....................</t>
  </si>
  <si>
    <t>Food Sales ...................</t>
  </si>
  <si>
    <t>Food Service .................</t>
  </si>
  <si>
    <t>Health Care ..................</t>
  </si>
  <si>
    <t xml:space="preserve">  Inpatient ..................</t>
  </si>
  <si>
    <t xml:space="preserve">  Outpatient .................</t>
  </si>
  <si>
    <t>Lodging ......................</t>
  </si>
  <si>
    <t>Mercantile ...................</t>
  </si>
  <si>
    <t xml:space="preserve">  Retail (Other Than Mall) ...</t>
  </si>
  <si>
    <t xml:space="preserve">  Enclosed and Strip Malls ...</t>
  </si>
  <si>
    <t>Office .......................</t>
  </si>
  <si>
    <t>Public Assembly ..............</t>
  </si>
  <si>
    <t>Public Order and Safety ......</t>
  </si>
  <si>
    <t>Religious Worship ............</t>
  </si>
  <si>
    <t>(*)</t>
  </si>
  <si>
    <t>Service ......................</t>
  </si>
  <si>
    <t>Warehouse and Storage ........</t>
  </si>
  <si>
    <t>Other ........................</t>
  </si>
  <si>
    <t>Vacant .......................</t>
  </si>
  <si>
    <t>Census Region and Division</t>
  </si>
  <si>
    <t>Northeast ....................</t>
  </si>
  <si>
    <t xml:space="preserve">  New England ................</t>
  </si>
  <si>
    <t xml:space="preserve">  Middle Atlantic ............</t>
  </si>
  <si>
    <t>Midwest ......................</t>
  </si>
  <si>
    <t xml:space="preserve">  East North Central .........</t>
  </si>
  <si>
    <t xml:space="preserve">  West North Central .........</t>
  </si>
  <si>
    <t>South ........................</t>
  </si>
  <si>
    <t xml:space="preserve">  South Atlantic .............</t>
  </si>
  <si>
    <t xml:space="preserve">  East South Central .........</t>
  </si>
  <si>
    <t xml:space="preserve">  West South Central .........</t>
  </si>
  <si>
    <t>West .........................</t>
  </si>
  <si>
    <t xml:space="preserve">  Mountain ...................</t>
  </si>
  <si>
    <t xml:space="preserve">  Pacific ....................</t>
  </si>
  <si>
    <t>See "Guide to the Tables" or "Glossary" for further explanations of the terms used in this table. Both can be accessed from the CBECS web site - http://www.eia.doe.gov/emeu/cbecs. 
(*)=Value rounds to zero in the units displayed.
Q=Data withheld because fewer than 20 buildings were sampled for any cell, or because the Relative Standard Error (RSE) was greater than 50 percent for a cell in the "Total" column.</t>
  </si>
  <si>
    <t>Note: Due to rounding, data may not sum to totals.
Source: Energy Information Administration, Office of Energy Markets and End Use, Form EIA-871A, C, and E of the 2003 Commercial Buildings Energy Consumption Survey.</t>
  </si>
  <si>
    <t xml:space="preserve">Total  </t>
  </si>
  <si>
    <t>Table E7A. Natural Gas Consumption (Btu) and Energy Intensities by End Use for
All Buildings, 2003</t>
  </si>
  <si>
    <t>Total Natural Gas Consumption
(trillion Btu)</t>
  </si>
  <si>
    <t>Table E10A. Fuel Oil Consumption (gallons) and Energy Intensities by End Use for All Buildings, 2003</t>
  </si>
  <si>
    <t>Total Fuel Oil Consumption
(million gallons)</t>
  </si>
  <si>
    <t>See "Guide to the Tables" or "Glossary" for further explanations of the terms used in this table. Both can be accessed from the CBECS web site - http://www.eia.doe.gov/emeu/cbecs. 
(*)=Value rounds to zero in the units displayed.
Q=Data withheld because fewer than 20 buildings were sampled.</t>
  </si>
  <si>
    <t>Therm</t>
  </si>
  <si>
    <t>Gallons</t>
  </si>
  <si>
    <t>BTU</t>
  </si>
  <si>
    <t>LP Gas (gallons)</t>
  </si>
  <si>
    <t>Electricity (kWh)</t>
  </si>
  <si>
    <t>Total Fuel</t>
  </si>
  <si>
    <t>Conversions</t>
  </si>
  <si>
    <t>Oil</t>
  </si>
  <si>
    <t>Natural Gas - BTU per therm</t>
  </si>
  <si>
    <t>Oil - BTU per gallon</t>
  </si>
  <si>
    <t>LPG - BTU per gallon</t>
  </si>
  <si>
    <t>Trillion BTU - BTU</t>
  </si>
  <si>
    <t>Natural Gas (therm)</t>
  </si>
  <si>
    <t>Electric</t>
  </si>
  <si>
    <t>http://www.eia.gov/state/seds/hf.jsp?incfile=sep_sum/html/sum_btu_com.html</t>
  </si>
  <si>
    <r>
      <t>Other </t>
    </r>
    <r>
      <rPr>
        <vertAlign val="superscript"/>
        <sz val="9"/>
        <color theme="1"/>
        <rFont val="Calibri"/>
        <family val="2"/>
        <scheme val="minor"/>
      </rPr>
      <t>d</t>
    </r>
  </si>
  <si>
    <t>Percent in Chittenden County</t>
  </si>
  <si>
    <t>Industrial - All Vermont</t>
  </si>
  <si>
    <t>Commercial - All Vermont</t>
  </si>
  <si>
    <t>Total C&amp;I - All Vermont</t>
  </si>
  <si>
    <t>Total C&amp;I - Chittenden County</t>
  </si>
  <si>
    <t>Kerosene</t>
  </si>
  <si>
    <t>Trillion BTU</t>
  </si>
  <si>
    <t>Oil (gallons)</t>
  </si>
  <si>
    <t>Kerosene (gallons)</t>
  </si>
  <si>
    <t>MMBTU</t>
  </si>
  <si>
    <t>Other Commercial</t>
  </si>
  <si>
    <t>Street Lights</t>
  </si>
  <si>
    <t>Categories we're using</t>
  </si>
  <si>
    <t>Categories from CBECs</t>
  </si>
  <si>
    <t>Cooking</t>
  </si>
  <si>
    <t>Propane</t>
  </si>
  <si>
    <t>Distribution between building types</t>
  </si>
  <si>
    <t>Wood and Wood Waste (MMBTU)</t>
  </si>
  <si>
    <t>Natural Gas (therms) 2010</t>
  </si>
  <si>
    <t>Propane (gallons) 2009</t>
  </si>
  <si>
    <t>Oil &amp; Kerosene (gallons) 2009</t>
  </si>
  <si>
    <t>All Building Types</t>
  </si>
  <si>
    <t xml:space="preserve">Heating </t>
  </si>
  <si>
    <t>Vermont Building Type &amp; End Use</t>
  </si>
  <si>
    <t>Per Employee</t>
  </si>
  <si>
    <t>TOTAL POPULATION (in thousands)</t>
  </si>
  <si>
    <t>TOTAL NUMBER of HOUSEHOLDS (in thousands)</t>
  </si>
  <si>
    <t>TOTAL EMPLOYMENT (in thousands of jobs)</t>
  </si>
  <si>
    <t>Percent</t>
  </si>
  <si>
    <t>Electric (kWh) 2009</t>
  </si>
  <si>
    <t>Kerosene - BTU per gallon</t>
  </si>
  <si>
    <t>Number of Employees</t>
  </si>
  <si>
    <t>Gas 2010 Therms</t>
  </si>
  <si>
    <t>Number of accounts</t>
  </si>
  <si>
    <t>Gas</t>
  </si>
  <si>
    <t>Energy</t>
  </si>
  <si>
    <t>Unit</t>
  </si>
  <si>
    <t>MMBTU/Employee</t>
  </si>
  <si>
    <t xml:space="preserve">kWh Usage: Commercial &amp; Industrial Sector </t>
  </si>
  <si>
    <t>Chittenden County Cities and Towns</t>
  </si>
  <si>
    <t>CHITTENDEN COUNTY COMMERCIAL &amp; INDUSTRIAL   ENERGY CONSUMPTION and END USE BREAK DOWN</t>
  </si>
  <si>
    <t>Source: Internal VEIC document used for planning</t>
  </si>
  <si>
    <t>Total Natural Gas Consumption
Percent</t>
  </si>
  <si>
    <t>Percent in New England</t>
  </si>
  <si>
    <t>Building Categories</t>
  </si>
  <si>
    <t>Electric and Gas. Source: Efficiency Vermont and Vermont Gas.  Data is 2010 for gas 2009 for electric and is Chittenden County Specific</t>
  </si>
  <si>
    <t>Natural Gas End Use Distribution. Source:  EIA.  Data is 2003 and is National and New England</t>
  </si>
  <si>
    <t>Natural Gas End Use Distribution. Source:  EIA.  Data is 2003 for New England</t>
  </si>
  <si>
    <t>Number of Employees. Source: Woods and Poole. Data is 2009 and Chittenden County Specific</t>
  </si>
  <si>
    <t>C&amp;I Building Summary Data</t>
  </si>
  <si>
    <t>C&amp;I Building Type &amp; End Use</t>
  </si>
  <si>
    <t>Electricity</t>
  </si>
  <si>
    <t>Gas data:  personal communication with VGS</t>
  </si>
  <si>
    <t>Electric data: http://www.efficiencyvermont.com/about_us/energy_initiatives/vt_town_energy.aspx</t>
  </si>
  <si>
    <t>http://www.eia.gov/emeu/cbecs/cbecs2003/detailed_tables_2003/detailed_tables_2003.html</t>
  </si>
  <si>
    <t>Source: CCRPC</t>
  </si>
  <si>
    <t>Data type</t>
  </si>
  <si>
    <t>Description</t>
  </si>
  <si>
    <t>C&amp;I electricity data is available from the utilities by town. Efficiency Vermont publishes that data annually on their web page and provides it to the Vermont Energy Atlas. This is a high quality data set</t>
  </si>
  <si>
    <t>C&amp;I Gas data was obtained from Vermont Gas through personal communication. This is a high quality data set</t>
  </si>
  <si>
    <t>This table  allocates energy use across building type and end use. The data used to disaggregate electric use across buildings and end-uses is from an Efficiency Vermont planning document.  For all other fuels, EIA RECS and MECS data was used. The RECS and MECS data is aggregated at the national and New England level so is not Vermont specific. In absence of data, professional judgment was used (and is noted in the spreadsheet). This data set also has many assumptions.</t>
  </si>
  <si>
    <t xml:space="preserve">Non-Transportation Fossil Fuels.  Source: EIA. Data is 2009 for all of Vermont </t>
  </si>
  <si>
    <t>Wood</t>
  </si>
  <si>
    <t>Per household MMBTU consumption</t>
  </si>
  <si>
    <t>Estimated using statewide EIA data (2009)</t>
  </si>
  <si>
    <t>Vermont Gas Town Level data (2010)</t>
  </si>
  <si>
    <t>Efficiency Vermont Town level data (2009)</t>
  </si>
  <si>
    <t>Total MMBTU consumption</t>
  </si>
  <si>
    <t>Number of households</t>
  </si>
  <si>
    <t>Data sources and comments (see reference tab for details):</t>
  </si>
  <si>
    <t>Energy Used by Buildings (Non-transportation)</t>
  </si>
  <si>
    <t>Total consumption</t>
  </si>
  <si>
    <t>Laundry</t>
  </si>
  <si>
    <t>Kitchen</t>
  </si>
  <si>
    <t>Total consumption (MMBTU)</t>
  </si>
  <si>
    <t>Natural gas</t>
  </si>
  <si>
    <t>Fossil Fuels (MMBTU)</t>
  </si>
  <si>
    <t>Differences between the sum of end use and the aggregated Town level data are due to assumptions necessary to disaggregate electrical consumption by end use. When comparing Towns at the aggregated level, Efficiency Vermont's Town level data should be used.</t>
  </si>
  <si>
    <t>Efficiency Vermont aggregated Town level data</t>
  </si>
  <si>
    <t>Sum of end uses</t>
  </si>
  <si>
    <t>Total all end uses</t>
  </si>
  <si>
    <t>Misc</t>
  </si>
  <si>
    <t>Well pump</t>
  </si>
  <si>
    <t>Waterbed</t>
  </si>
  <si>
    <t>DVD/VCR player</t>
  </si>
  <si>
    <t>Cable or Satellite box</t>
  </si>
  <si>
    <t>TV - large</t>
  </si>
  <si>
    <t>TV - std</t>
  </si>
  <si>
    <t>Computer &amp; peripherals</t>
  </si>
  <si>
    <t>Consumer Electronics</t>
  </si>
  <si>
    <t>Lighting</t>
  </si>
  <si>
    <t>Spa</t>
  </si>
  <si>
    <t>Pool pump</t>
  </si>
  <si>
    <t>Spa/Pool</t>
  </si>
  <si>
    <t xml:space="preserve">Electric dryer </t>
  </si>
  <si>
    <t>Clothes Washers</t>
  </si>
  <si>
    <t>Microwave</t>
  </si>
  <si>
    <t>Electric oven</t>
  </si>
  <si>
    <t>Electric cooktop</t>
  </si>
  <si>
    <t>Dishwasher</t>
  </si>
  <si>
    <t>Freezer</t>
  </si>
  <si>
    <t>Refrigerators</t>
  </si>
  <si>
    <t>Electric DHW</t>
  </si>
  <si>
    <t>Dehumidifier</t>
  </si>
  <si>
    <t>Room AC</t>
  </si>
  <si>
    <t>Central AC</t>
  </si>
  <si>
    <t>Cooling/Dehum</t>
  </si>
  <si>
    <t>Humidifier</t>
  </si>
  <si>
    <t>Boiler circ pumps</t>
  </si>
  <si>
    <t>Furnace circ fans</t>
  </si>
  <si>
    <t>Electric - back-up</t>
  </si>
  <si>
    <t>Electric - primary</t>
  </si>
  <si>
    <t>Electric (kWh)</t>
  </si>
  <si>
    <t>Percent of total by category/ Comment</t>
  </si>
  <si>
    <t>Average per household consumption (kWh)</t>
  </si>
  <si>
    <t>Total kWh by Category</t>
  </si>
  <si>
    <t>End use</t>
  </si>
  <si>
    <t>Fuel or Category</t>
  </si>
  <si>
    <t>End Use</t>
  </si>
  <si>
    <t>Fuel</t>
  </si>
  <si>
    <t>Access to Natural gas</t>
  </si>
  <si>
    <t>Natural Gas consumption was multiplied by fuel type breakdown to obtain end use consumption data for natural gas.</t>
  </si>
  <si>
    <t>Source:</t>
  </si>
  <si>
    <t>Thermal fuels consumption by fuel, end-use, and Town</t>
  </si>
  <si>
    <t>Table Title:</t>
  </si>
  <si>
    <t>Residential consumption in 2010 (MMBTU)</t>
  </si>
  <si>
    <t>Residential consumption in 2010 (ccf of gas)</t>
  </si>
  <si>
    <t>Non-natural gas customers</t>
  </si>
  <si>
    <t>Oil, propane, wood</t>
  </si>
  <si>
    <t>2010 Natural Gas customers (source VT gas)</t>
  </si>
  <si>
    <t>2009 Number of Households (Updated 2009, includes vacant)</t>
  </si>
  <si>
    <t>All Fuels</t>
  </si>
  <si>
    <t>EVT Census Town</t>
  </si>
  <si>
    <t>Fuel Type</t>
  </si>
  <si>
    <t>Essex+Essex Junction customers</t>
  </si>
  <si>
    <t xml:space="preserve">Natural Gas data (accounts and annual consumption) from Vermont Gas, 2010 data. </t>
  </si>
  <si>
    <t>(Essex/ Essex Jnct consumption only available as aggregation of both Towns at the time of this writing)</t>
  </si>
  <si>
    <t>Essex+Essex Junction consumption</t>
  </si>
  <si>
    <t>Number of gas and non-gas customers by Town</t>
  </si>
  <si>
    <t>Proportion of Chittenden County Household to Vermont household</t>
  </si>
  <si>
    <t>CC households</t>
  </si>
  <si>
    <t>VT households</t>
  </si>
  <si>
    <t>Efficiency Vermont data, 2009</t>
  </si>
  <si>
    <t>Number of Households in Chittenden County and Vermont</t>
  </si>
  <si>
    <t>Total (trillion BTU)</t>
  </si>
  <si>
    <t>Other: Kerosene (trillion BTU)</t>
  </si>
  <si>
    <t>Propane (trillion BTU)</t>
  </si>
  <si>
    <t>Wood  (trillion BTU)</t>
  </si>
  <si>
    <t>Natural gas  (trillion BTU)</t>
  </si>
  <si>
    <t>Assumes that residents of Chittenden County use 25% of the residential thermal fuels used in Vermont, the same share as CC's share of Vermont's household.
Vermont gas provides services to 45,000 homes and businesses; Chittenden County residences (35,230) represent 78% of the number of total VT gas customers. Assuming all customers use the same amount of gas, 75% of Vermont's gas consumption was assumed to occur in Chittenden County.</t>
  </si>
  <si>
    <t>Fuel Oil (trillion BTU)</t>
  </si>
  <si>
    <t>Comments</t>
  </si>
  <si>
    <t>Percent of Statewide Consumption attributed to Chittenden County</t>
  </si>
  <si>
    <t>Total Chittenden  (2009)</t>
  </si>
  <si>
    <t>Total Vermont (2009)</t>
  </si>
  <si>
    <t>Residential Sector Energy Consumption Estimates, 1960-2009, Vermont -includes multifamily-(http://www.eia.gov/state/seds/hf.jsp?incfile=sep_use/res/use_res_VT.html&amp;mstate=Vermont)</t>
  </si>
  <si>
    <t>Energy Information Agency Fuel Consumption data for Vermont (non transportation)</t>
  </si>
  <si>
    <t>Assumes that 20% of households also use that fuel as secondary heating fuel</t>
  </si>
  <si>
    <t>Assumes that 90% of households with access to natural gas heat their home and hot water with natural gas</t>
  </si>
  <si>
    <t>Comment</t>
  </si>
  <si>
    <t>Town without natural gas (assumes proportional distribution of would-be natural gas users to other fuels)</t>
  </si>
  <si>
    <t>Town with natural gas  (source VT RES Market tab-ACS 2006)</t>
  </si>
  <si>
    <t xml:space="preserve">Primary Heating fuel type </t>
  </si>
  <si>
    <t>Primary and Secondary Heating fuel type</t>
  </si>
  <si>
    <t>Market Penetration: "Overall Report for Existing Homes in Vermont FINAL, Submitted to :Vermont Department of Public Service, Submitted by: Nexus Market search, Inc., RLW Analytics, Inc., Dorothy Conant, June 8, 2009", and professional judgment where indicated.
-ACS 2006: American Community Survey, Census Bureau, 2006
Market Penetration: "Overall Report for Existing Homes in Vermont FINAL, Submitted to :Vermont Department of Public Service, Submitted by: Nexus Market search, Inc., RLW Analytics, Inc., Dorothy Conant, June 8, 2009", and professional judgment where indicated.
-ACS 2006: American Community Survey, Census Bureau, 2006
, Vermont Gas Data 2010</t>
  </si>
  <si>
    <t>Primary heating and hot water disaggregation by fuel for towns with and without natural gas</t>
  </si>
  <si>
    <t>Percent of Total Fuel Consumption</t>
  </si>
  <si>
    <t>Therm Disag tab in previous file for natural gas, adjusted using professional judgment for other fuels</t>
  </si>
  <si>
    <t>Disaggregation between space heating, water heating, and other</t>
  </si>
  <si>
    <t>Thermal fuels consumption by end use was calculated differently for natural gas and other fuels, because Town level consumption data was only available for natural gas. For natural gas, the Town's consumption is multiplied by the percentage attributed to each end use. For other thermal fuels, the statewide consumption was multiplied by each Town's proportion of non-natural gas customer's to the total number of households in Vermont. This Town level consumption was then multiplied by the percentage attributed to each end use for each fuel. See tables below for details.</t>
  </si>
  <si>
    <t>Thermal Fuels (Natural Gas, Oil, Propane, Wood)</t>
  </si>
  <si>
    <t>Percent difference (due to assumptions necessary to disaggregate electrical consumption by end use)</t>
  </si>
  <si>
    <t>source: EIA RECs for Northeast region;</t>
  </si>
  <si>
    <t>source: EIA RECs for Northeast region; professional judgment for towns without natural gas</t>
  </si>
  <si>
    <t>professional judgment for towns without natural gas</t>
  </si>
  <si>
    <t>Households</t>
  </si>
  <si>
    <t>Unit Energy Consumption UEC (kWh)</t>
  </si>
  <si>
    <t>Comment on Market Penetration</t>
  </si>
  <si>
    <t>Market Penetration
Town without Natural Gas Service</t>
  </si>
  <si>
    <t>Market Penetration
Town with Natural Gas Service</t>
  </si>
  <si>
    <t>Technology/ Measure</t>
  </si>
  <si>
    <t>Electrical consumption by end use and by Town</t>
  </si>
  <si>
    <t>Number of product (pug load, electric heat, and electric direct water heater) per town</t>
  </si>
  <si>
    <t>Assumptions</t>
  </si>
  <si>
    <t>Market Penetration: "Overall Report for Existing Homes in Vermont FINAL, Submitted to :Vermont Department of Public Service, Submitted by: Nexus Market search, Inc., RLW Analytics, Inc., Dorothy Conant, June 8, 2009", and professional judgment where indicated.
UEC: professional judgment</t>
  </si>
  <si>
    <t xml:space="preserve">Source: </t>
  </si>
  <si>
    <t>Market penetration, Unit Energy Consumption (2009 data), and electricity consumption by Town and end-use</t>
  </si>
  <si>
    <t>more multifamily housing compared to the average</t>
  </si>
  <si>
    <t>larger homes than average</t>
  </si>
  <si>
    <t>very small number of houses in Buel's Gore , outliers have greater impact</t>
  </si>
  <si>
    <t>Difference in usage/household compared to Chittenden County average</t>
  </si>
  <si>
    <t>Savings as % of Usage</t>
  </si>
  <si>
    <t>Average Residential kWh Savings/ Household</t>
  </si>
  <si>
    <t>Average Residential kWh Usage/ Household</t>
  </si>
  <si>
    <t>Number of Households (Updated 2009)</t>
  </si>
  <si>
    <t>kWh Savings: Residential Sector</t>
  </si>
  <si>
    <t>kWh Usage: Residential Sector</t>
  </si>
  <si>
    <t>Ratios for 2009 Data</t>
  </si>
  <si>
    <t>2009 kWh Savings</t>
  </si>
  <si>
    <t>2009 kWh Usage</t>
  </si>
  <si>
    <t>Efficiency Vermont Town level data, 2009</t>
  </si>
  <si>
    <t>Electric consumption of Chittenden County households</t>
  </si>
  <si>
    <t>Electrical consumption by end use was calculated using market penetration data adjusted for towns that do not have access to natural gas service. Consumption was calculated by multiplying the number of household by the penetration rate and the unit energy consumption (UEC).
Due to assumptions made regarding the penetration rate of technologies in Chittenden County, and assuming that they are the same in Vermont as a whole, and estimating these rates in towns without natural gas leads to imprecision when reporting the sum of all end uses for each town. 
Therefore, aggregated town level consumption data available on the Efficiency Vermont Website should be used when considering the sum of all electrical end-uses in Chittenden County</t>
  </si>
  <si>
    <t xml:space="preserve">C&amp;I Methods References </t>
  </si>
  <si>
    <t>Residential Summary</t>
  </si>
  <si>
    <t>Residential Detailed</t>
  </si>
  <si>
    <t xml:space="preserve">C&amp;I Calculations and References </t>
  </si>
  <si>
    <t>Residential Method and References</t>
  </si>
  <si>
    <t>Residential Calculations &amp; References</t>
  </si>
  <si>
    <t>Energy Consumption Estimates for Chittenden County</t>
  </si>
  <si>
    <t>Table of Contents:</t>
  </si>
  <si>
    <t>References</t>
  </si>
  <si>
    <t>http://www.efficiencyvermont.com/about_us/energy_initiatives/vt_town_energy.aspx</t>
  </si>
  <si>
    <t>Personal Communication with Steve Wark</t>
  </si>
  <si>
    <t>http://205.254.135.24/state/seds/seds-states.cfm?q_state_a=VT&amp;q_state=Vermont</t>
  </si>
  <si>
    <t xml:space="preserve">http://www.eia.gov/emeu/cbecs/      </t>
  </si>
  <si>
    <t>http://www.eia.gov/emeu/mecs/contents.html</t>
  </si>
  <si>
    <t>Source</t>
  </si>
  <si>
    <t>Vermont</t>
  </si>
  <si>
    <t>http://205.254.135.24/state/seds/hf.jsp?incfile=sep_use/com/use_com_VT.html&amp;mstate=Vermont</t>
  </si>
  <si>
    <t>Residual Fuel Oil</t>
  </si>
  <si>
    <t>Biomass</t>
  </si>
  <si>
    <t>Distillate Fuel Oil</t>
  </si>
  <si>
    <t>Hydro</t>
  </si>
  <si>
    <t>Retail Electricity</t>
  </si>
  <si>
    <t>YR</t>
  </si>
  <si>
    <t>QTR</t>
  </si>
  <si>
    <t>PRELIM</t>
  </si>
  <si>
    <t>TIMEPERIOD</t>
  </si>
  <si>
    <t>AREATYPE</t>
  </si>
  <si>
    <t>AREA</t>
  </si>
  <si>
    <t>AREANAME</t>
  </si>
  <si>
    <t>OWN</t>
  </si>
  <si>
    <t>OWNNAME</t>
  </si>
  <si>
    <t>INDGRP</t>
  </si>
  <si>
    <t>NAICS</t>
  </si>
  <si>
    <t>NAICSLABEL</t>
  </si>
  <si>
    <t>INDTITLE</t>
  </si>
  <si>
    <t>AVG_ESTABL</t>
  </si>
  <si>
    <t>AVG_EMPLOY</t>
  </si>
  <si>
    <t>AVG_FEMALE</t>
  </si>
  <si>
    <t>TOTAL_WAGE</t>
  </si>
  <si>
    <t>AVG_WAGE</t>
  </si>
  <si>
    <t>SUPPRESS</t>
  </si>
  <si>
    <t>2010</t>
  </si>
  <si>
    <t>0</t>
  </si>
  <si>
    <t>N</t>
  </si>
  <si>
    <t>2010 annual</t>
  </si>
  <si>
    <t>town</t>
  </si>
  <si>
    <t>022</t>
  </si>
  <si>
    <t>Bolton town</t>
  </si>
  <si>
    <t>5</t>
  </si>
  <si>
    <t>Private</t>
  </si>
  <si>
    <t>BIB</t>
  </si>
  <si>
    <t>721000</t>
  </si>
  <si>
    <t>721</t>
  </si>
  <si>
    <t>Accommodation</t>
  </si>
  <si>
    <t>Y</t>
  </si>
  <si>
    <t>036</t>
  </si>
  <si>
    <t>Burlington city</t>
  </si>
  <si>
    <t>Area Total</t>
  </si>
  <si>
    <t>000</t>
  </si>
  <si>
    <t>000000</t>
  </si>
  <si>
    <t>--</t>
  </si>
  <si>
    <t>Total Covered -  all ownerships</t>
  </si>
  <si>
    <t>044</t>
  </si>
  <si>
    <t>Charlotte town</t>
  </si>
  <si>
    <t>049</t>
  </si>
  <si>
    <t>Colchester town</t>
  </si>
  <si>
    <t>093</t>
  </si>
  <si>
    <t>Hinesburg town</t>
  </si>
  <si>
    <t>096</t>
  </si>
  <si>
    <t>Huntington town</t>
  </si>
  <si>
    <t>103</t>
  </si>
  <si>
    <t>Jericho town</t>
  </si>
  <si>
    <t>123</t>
  </si>
  <si>
    <t>Milton town</t>
  </si>
  <si>
    <t>161</t>
  </si>
  <si>
    <t>Richmond town</t>
  </si>
  <si>
    <t>173</t>
  </si>
  <si>
    <t>St. George town</t>
  </si>
  <si>
    <t>186</t>
  </si>
  <si>
    <t>South Burlington city</t>
  </si>
  <si>
    <t>181</t>
  </si>
  <si>
    <t>Shelburne town</t>
  </si>
  <si>
    <t>206</t>
  </si>
  <si>
    <t>Underhill town</t>
  </si>
  <si>
    <t>237</t>
  </si>
  <si>
    <t>Williston town</t>
  </si>
  <si>
    <t>242</t>
  </si>
  <si>
    <t>Winooski city</t>
  </si>
  <si>
    <t>226</t>
  </si>
  <si>
    <t>Westford town</t>
  </si>
  <si>
    <t>067</t>
  </si>
  <si>
    <t>Essex town</t>
  </si>
  <si>
    <t>Chittenden County Number of employees (woods and Poole)</t>
  </si>
  <si>
    <t>http://www.vtlmi.info/indareanaics.cfm</t>
  </si>
  <si>
    <t>State of Vermont number of employees</t>
  </si>
  <si>
    <t>total</t>
  </si>
  <si>
    <t>Vermont Total</t>
  </si>
  <si>
    <t>Vermont - Industrial</t>
  </si>
  <si>
    <t>Vermont - Commercial</t>
  </si>
  <si>
    <t>Chittenden County C&amp;I - Total</t>
  </si>
  <si>
    <t>kWh</t>
  </si>
  <si>
    <t>MWh</t>
  </si>
  <si>
    <t>Per employee MMBTU consumption</t>
  </si>
  <si>
    <t>Electricity (MWh)</t>
  </si>
  <si>
    <t>Fuel Oil</t>
  </si>
  <si>
    <t>Natural Gas (therms)</t>
  </si>
  <si>
    <t>Chittenden County Retail Elelctric (MMBTu)</t>
  </si>
  <si>
    <t>Reported Data</t>
  </si>
  <si>
    <t>All Sectors - Electric Use</t>
  </si>
  <si>
    <t>C&amp;I Electric Use</t>
  </si>
  <si>
    <t>RES Electric Use</t>
  </si>
  <si>
    <t>All Sectors - Electric Savings</t>
  </si>
  <si>
    <t>C&amp;I Electric Savings</t>
  </si>
  <si>
    <t>RES Electric Savings</t>
  </si>
  <si>
    <t>2005 kWh Usage</t>
  </si>
  <si>
    <t>2005 kWh Savings</t>
  </si>
  <si>
    <t>Ratios for 2005 Data</t>
  </si>
  <si>
    <r>
      <t>kWh Usage:</t>
    </r>
    <r>
      <rPr>
        <sz val="10"/>
        <color indexed="8"/>
        <rFont val="Arial"/>
        <family val="2"/>
      </rPr>
      <t xml:space="preserve"> Commercial &amp; Industrial Sector</t>
    </r>
  </si>
  <si>
    <r>
      <t>kWh Savings:</t>
    </r>
    <r>
      <rPr>
        <sz val="10"/>
        <color indexed="8"/>
        <rFont val="Arial"/>
        <family val="2"/>
      </rPr>
      <t xml:space="preserve"> Residential Sector</t>
    </r>
  </si>
  <si>
    <t>Number of Households</t>
  </si>
  <si>
    <t>All Sectors - Usage</t>
  </si>
  <si>
    <t>All Sector Savings</t>
  </si>
  <si>
    <t>Chittenden County</t>
  </si>
  <si>
    <t>2006 kWh Usage</t>
  </si>
  <si>
    <t>2006 kWh Savings</t>
  </si>
  <si>
    <t>Ratios for 2006 Data</t>
  </si>
  <si>
    <t>2007 kWh Usage</t>
  </si>
  <si>
    <t>2007 kWh Savings</t>
  </si>
  <si>
    <t>Ratios for 2007 Data</t>
  </si>
  <si>
    <t>Chittenden</t>
  </si>
  <si>
    <t>2008 kWh Usage</t>
  </si>
  <si>
    <t>2008 kWh Savings</t>
  </si>
  <si>
    <t>Ratios for 2008 Data</t>
  </si>
  <si>
    <t>2009 MMBtu Savings</t>
  </si>
  <si>
    <r>
      <t xml:space="preserve">Number of Households </t>
    </r>
    <r>
      <rPr>
        <sz val="10"/>
        <color indexed="8"/>
        <rFont val="Arial"/>
        <family val="2"/>
      </rPr>
      <t>(Updated 2009)</t>
    </r>
  </si>
  <si>
    <r>
      <t>MMBtu Savings:</t>
    </r>
    <r>
      <rPr>
        <sz val="10"/>
        <color indexed="8"/>
        <rFont val="Arial"/>
        <family val="2"/>
      </rPr>
      <t xml:space="preserve"> Commercial &amp; Industrial Sector</t>
    </r>
  </si>
  <si>
    <r>
      <t>MMBtu Savings:</t>
    </r>
    <r>
      <rPr>
        <sz val="10"/>
        <color indexed="8"/>
        <rFont val="Arial"/>
        <family val="2"/>
      </rPr>
      <t xml:space="preserve"> Residential Sector</t>
    </r>
  </si>
  <si>
    <t>Chittenden County Natural Gas (MMBtu)</t>
  </si>
  <si>
    <t xml:space="preserve">MMBTU = </t>
  </si>
  <si>
    <t>10 Therms</t>
  </si>
  <si>
    <t>MWh=</t>
  </si>
  <si>
    <t>MMBTU=</t>
  </si>
  <si>
    <t>293.1 kWh</t>
  </si>
  <si>
    <t>kWh=</t>
  </si>
  <si>
    <t>.003412 MMBTU</t>
  </si>
  <si>
    <t>3.412 MMBTU</t>
  </si>
  <si>
    <t>Number of employees1</t>
  </si>
  <si>
    <t>2010 data - http://www.vtlmi.info/indareanaics.cfm</t>
  </si>
  <si>
    <t>ESSEX + ESSEX JUNCTION</t>
  </si>
  <si>
    <t>RES Total MMBTU consumption</t>
  </si>
  <si>
    <t>RES Per household MMBTU consumption</t>
  </si>
  <si>
    <t>Therms</t>
  </si>
  <si>
    <t>Difference</t>
  </si>
  <si>
    <t>Comparision of methods</t>
  </si>
  <si>
    <t>Reported data (MMBTU)</t>
  </si>
  <si>
    <t>Included in Energy Analysis Report</t>
  </si>
  <si>
    <t>Included in GHG report</t>
  </si>
  <si>
    <t>Background information</t>
  </si>
  <si>
    <t>C&amp;I Total MMBTU consumption</t>
  </si>
  <si>
    <t>ESSEX +Essex Junction</t>
  </si>
  <si>
    <t>C&amp;I Non-electric fuels (minus natural gas)</t>
  </si>
  <si>
    <t>EIA published total fuel use information on line separated into commercial and industrial. Those tables were pasted  then added together to get total energy use for the C&amp;I sector. The amount of total energy in Vermont to Chittenden County was distributed according to percent of employees in Chittenden County as a percent of Vermont and as a percent to each town.</t>
  </si>
  <si>
    <t>Observation on Using EIA state data allocated by Employee</t>
  </si>
  <si>
    <t>We compared Vermont –level electric data from EIA proportioned by the number of employees to the utility electric data we obtained from Efficiency Vermont. The EIA data multiplied by proportion of county employment is between 86% and 90% for the years 2005-2009. This means for electricity, we know that using employees as the ratio, would have slightly under reported the energy use of Chittenden County. We then compared the EIA state level natural gas data proportioned to the number of Chittenden county employees to the 2010 data from VGS, and the number was only 46% of VGS. This can be attributed to the fact that natural gas is concentrated in the Chittenden County relative to the rest of the state. If we were to assume that businesses are choosing natural gas over oil, than the oil and propone numbers in this analysis are likely higher than actuals.</t>
  </si>
  <si>
    <t xml:space="preserve">Energy Economic </t>
  </si>
  <si>
    <t>http://publicservice.vermont.gov/pub/fuel-price-report/09sept.pdf</t>
  </si>
  <si>
    <t>$</t>
  </si>
  <si>
    <t>2009/2010</t>
  </si>
  <si>
    <t>Total MMBTU annual consumption</t>
  </si>
  <si>
    <t>Per employee MMBTU annual consumption</t>
  </si>
  <si>
    <t>Total Chittenden County Annual Expenditure (2009)</t>
  </si>
  <si>
    <t>Per employee Average Annual Expenditure (2009)</t>
  </si>
  <si>
    <t>Cost Per MMBTU</t>
  </si>
  <si>
    <t>2009 Expenditure in Vermont (billions $) [1]</t>
  </si>
  <si>
    <t>2009 Expenditure in Chittenden County (million $)[2]</t>
  </si>
  <si>
    <t>$1,018.80 [3]</t>
  </si>
  <si>
    <t>[1] EIA data in 2011 Vermont Comprehensive Energy Plan, Exhibit 2-17</t>
  </si>
  <si>
    <t>[2] Calculated for Chittenden County using End-use Consumption  Estimates</t>
  </si>
  <si>
    <t>[3] These expenditures are only for taxable gas and diesel sales so they don’t include any school, municipal or non-profit transportation services.</t>
  </si>
  <si>
    <t xml:space="preserve">Transportation </t>
  </si>
  <si>
    <t xml:space="preserve">Residential </t>
  </si>
  <si>
    <t xml:space="preserve">Commercial </t>
  </si>
  <si>
    <t xml:space="preserve">Industrial </t>
  </si>
  <si>
    <t>http://www.housingdata.org/profile/resultsMain.php?county=007000</t>
  </si>
  <si>
    <t>US Census: 2010 2010 ACS 5-year estimates
American Community Survey
2006-2010 American Community Survey 5-Year Estimates
DP04 - SELECTED HOUSING CHARACTERISTICS</t>
  </si>
  <si>
    <t>Housing by units in structure, 2005-2009</t>
  </si>
  <si>
    <t>Mobile home</t>
  </si>
  <si>
    <t>Kerosene consumption (TBTU)</t>
  </si>
  <si>
    <t>Kerosene consumption (MMBTU)</t>
  </si>
  <si>
    <t>... all housing units</t>
  </si>
  <si>
    <t>Bolton town, Chittenden County, Vermont</t>
  </si>
  <si>
    <t xml:space="preserve">... that are mobile homes  </t>
  </si>
  <si>
    <t>Buels gore, Chittenden County, Vermont</t>
  </si>
  <si>
    <t>mobile home units</t>
  </si>
  <si>
    <t>Burlington city, Chittenden County, Vermont</t>
  </si>
  <si>
    <t>consumption per mobile home unit (MMBTU)</t>
  </si>
  <si>
    <t>Charlotte town, Chittenden County, Vermont</t>
  </si>
  <si>
    <t>Consumption countywide (MMBTU)</t>
  </si>
  <si>
    <t>Colchester town, Chittenden County, Vermont</t>
  </si>
  <si>
    <t>Essex town, Chittenden County, Vermont</t>
  </si>
  <si>
    <t>Hinesburg town, Chittenden County, Vermont</t>
  </si>
  <si>
    <t>Huntington town, Chittenden County, Vermont</t>
  </si>
  <si>
    <t>Jericho town, Chittenden County, Vermont</t>
  </si>
  <si>
    <t>Milton town, Chittenden County, Vermont</t>
  </si>
  <si>
    <t>Richmond town, Chittenden County, Vermont</t>
  </si>
  <si>
    <t>St. George town, Chittenden County, Vermont</t>
  </si>
  <si>
    <t>Shelburne town, Chittenden County, Vermont</t>
  </si>
  <si>
    <t>South Burlington city, Chittenden County, Vermont</t>
  </si>
  <si>
    <t>Underhill town, Chittenden County, Vermont</t>
  </si>
  <si>
    <t>Westford town, Chittenden County, Vermont</t>
  </si>
  <si>
    <t>Williston town, Chittenden County, Vermont</t>
  </si>
  <si>
    <t>Winooski city, Chittenden County, Vermont</t>
  </si>
  <si>
    <t>CC Total</t>
  </si>
  <si>
    <t>Chittenden County Residential and C&amp;I</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</si>
</sst>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
    <numFmt numFmtId="166" formatCode="&quot;$&quot;#,##0;\-&quot;$&quot;#,##0"/>
    <numFmt numFmtId="167" formatCode="mmmm\ d\,\ yyyy"/>
    <numFmt numFmtId="168" formatCode="#,##0.0_);\(#,##0.0\)"/>
    <numFmt numFmtId="169" formatCode="_(* #,##0_);_(* \(#,##0\);_(* &quot;-&quot;??_);_(@_)"/>
    <numFmt numFmtId="170" formatCode="@*."/>
    <numFmt numFmtId="171" formatCode="_(* #,##0.0_);_(* \(#,##0.0\);_(* &quot;-&quot;??_);_(@_)"/>
    <numFmt numFmtId="172" formatCode="0.000%"/>
    <numFmt numFmtId="173" formatCode="0.0"/>
    <numFmt numFmtId="174" formatCode="0.00_);\(0.00\)"/>
    <numFmt numFmtId="175" formatCode="_(&quot;$&quot;* #,##0_);_(&quot;$&quot;* \(#,##0\);_(&quot;$&quot;* &quot;-&quot;??_);_(@_)"/>
    <numFmt numFmtId="176" formatCode="_(* #,##0.000_);_(* \(#,##0.000\);_(* &quot;-&quot;??_);_(@_)"/>
    <numFmt numFmtId="177" formatCode="_(* #,##0.00000_);_(* \(#,##0.00000\);_(* &quot;-&quot;??_);_(@_)"/>
  </numFmts>
  <fonts count="43">
    <font>
      <sz val="11"/>
      <color theme="1"/>
      <name val="Calibri"/>
      <family val="2"/>
      <scheme val="minor"/>
    </font>
    <font>
      <sz val="11"/>
      <color theme="1"/>
      <name val="Calibri"/>
      <family val="2"/>
      <scheme val="minor"/>
    </font>
    <font>
      <sz val="14"/>
      <name val="Arial"/>
      <family val="2"/>
    </font>
    <font>
      <b/>
      <sz val="10"/>
      <name val="Arial"/>
      <family val="2"/>
    </font>
    <font>
      <b/>
      <u/>
      <sz val="10"/>
      <name val="Arial"/>
      <family val="2"/>
    </font>
    <font>
      <sz val="10"/>
      <name val="Arial"/>
      <family val="2"/>
    </font>
    <font>
      <sz val="10"/>
      <color indexed="8"/>
      <name val="Arial"/>
      <family val="2"/>
    </font>
    <font>
      <sz val="10"/>
      <name val="Helvetica-Narrow"/>
      <family val="2"/>
    </font>
    <font>
      <b/>
      <sz val="10"/>
      <color indexed="8"/>
      <name val="Arial"/>
      <family val="2"/>
    </font>
    <font>
      <sz val="11"/>
      <color indexed="8"/>
      <name val="Calibri"/>
      <family val="2"/>
    </font>
    <font>
      <sz val="12"/>
      <name val="Times New Roman"/>
      <family val="1"/>
    </font>
    <font>
      <b/>
      <sz val="12"/>
      <name val="Arial"/>
      <family val="2"/>
    </font>
    <font>
      <sz val="10"/>
      <name val="Century Gothic"/>
      <family val="2"/>
    </font>
    <font>
      <sz val="9"/>
      <color theme="1"/>
      <name val="Calibri"/>
      <family val="2"/>
      <scheme val="minor"/>
    </font>
    <font>
      <sz val="10"/>
      <name val="Arial"/>
      <family val="2"/>
    </font>
    <font>
      <sz val="8"/>
      <name val="Arial"/>
      <family val="2"/>
    </font>
    <font>
      <b/>
      <sz val="8"/>
      <name val="Arial"/>
      <family val="2"/>
    </font>
    <font>
      <sz val="8"/>
      <name val="Arial"/>
      <family val="2"/>
    </font>
    <font>
      <b/>
      <sz val="11"/>
      <color theme="0"/>
      <name val="Calibri"/>
      <family val="2"/>
      <scheme val="minor"/>
    </font>
    <font>
      <b/>
      <sz val="11"/>
      <color theme="1"/>
      <name val="Calibri"/>
      <family val="2"/>
      <scheme val="minor"/>
    </font>
    <font>
      <u/>
      <sz val="11"/>
      <color theme="10"/>
      <name val="Calibri"/>
      <family val="2"/>
      <scheme val="minor"/>
    </font>
    <font>
      <vertAlign val="superscript"/>
      <sz val="9"/>
      <color theme="1"/>
      <name val="Calibri"/>
      <family val="2"/>
      <scheme val="minor"/>
    </font>
    <font>
      <sz val="9"/>
      <color indexed="81"/>
      <name val="Tahoma"/>
      <family val="2"/>
    </font>
    <font>
      <b/>
      <sz val="9"/>
      <color indexed="81"/>
      <name val="Tahoma"/>
      <family val="2"/>
    </font>
    <font>
      <sz val="14"/>
      <color theme="1"/>
      <name val="Calibri"/>
      <family val="2"/>
      <scheme val="minor"/>
    </font>
    <font>
      <b/>
      <sz val="14"/>
      <color theme="1"/>
      <name val="Calibri"/>
      <family val="2"/>
      <scheme val="minor"/>
    </font>
    <font>
      <b/>
      <sz val="20"/>
      <color theme="1"/>
      <name val="Calibri"/>
      <family val="2"/>
      <scheme val="minor"/>
    </font>
    <font>
      <sz val="11"/>
      <color rgb="FFFF0000"/>
      <name val="Calibri"/>
      <family val="2"/>
      <scheme val="minor"/>
    </font>
    <font>
      <sz val="11"/>
      <name val="Calibri"/>
      <family val="2"/>
      <scheme val="minor"/>
    </font>
    <font>
      <sz val="11"/>
      <color indexed="8"/>
      <name val="Calibri"/>
      <family val="2"/>
      <scheme val="minor"/>
    </font>
    <font>
      <u/>
      <sz val="10"/>
      <name val="Arial"/>
      <family val="2"/>
    </font>
    <font>
      <b/>
      <sz val="11"/>
      <name val="Calibri"/>
      <family val="2"/>
      <scheme val="minor"/>
    </font>
    <font>
      <b/>
      <sz val="11"/>
      <color indexed="8"/>
      <name val="Calibri"/>
      <family val="2"/>
      <scheme val="minor"/>
    </font>
    <font>
      <sz val="10"/>
      <name val="Arial"/>
    </font>
    <font>
      <u/>
      <sz val="10"/>
      <color theme="10"/>
      <name val="Arial"/>
    </font>
    <font>
      <b/>
      <sz val="11"/>
      <color theme="6"/>
      <name val="Calibri"/>
      <family val="2"/>
      <scheme val="minor"/>
    </font>
    <font>
      <b/>
      <sz val="12"/>
      <color theme="5"/>
      <name val="Calibri"/>
      <family val="2"/>
      <scheme val="minor"/>
    </font>
    <font>
      <b/>
      <sz val="11"/>
      <color theme="9"/>
      <name val="Calibri"/>
      <family val="2"/>
      <scheme val="minor"/>
    </font>
    <font>
      <u/>
      <sz val="10"/>
      <color indexed="12"/>
      <name val="Arial"/>
      <family val="2"/>
    </font>
    <font>
      <sz val="10"/>
      <color rgb="FF000000"/>
      <name val="Palatino Linotype"/>
      <family val="1"/>
    </font>
    <font>
      <b/>
      <i/>
      <sz val="10"/>
      <color rgb="FF000000"/>
      <name val="Palatino Linotype"/>
      <family val="1"/>
    </font>
    <font>
      <b/>
      <sz val="9"/>
      <color indexed="81"/>
      <name val="Tahoma"/>
      <charset val="1"/>
    </font>
    <font>
      <sz val="9"/>
      <color indexed="81"/>
      <name val="Tahoma"/>
      <charset val="1"/>
    </font>
  </fonts>
  <fills count="15">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indexed="46"/>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right/>
      <top/>
      <bottom style="double">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8"/>
      </left>
      <right style="medium">
        <color indexed="8"/>
      </right>
      <top style="medium">
        <color indexed="8"/>
      </top>
      <bottom style="thin">
        <color indexed="8"/>
      </bottom>
      <diagonal/>
    </border>
    <border>
      <left/>
      <right style="thin">
        <color indexed="64"/>
      </right>
      <top style="medium">
        <color indexed="64"/>
      </top>
      <bottom style="thin">
        <color indexed="64"/>
      </bottom>
      <diagonal/>
    </border>
    <border>
      <left style="medium">
        <color indexed="8"/>
      </left>
      <right style="medium">
        <color indexed="8"/>
      </right>
      <top style="thin">
        <color indexed="8"/>
      </top>
      <bottom style="thin">
        <color indexed="8"/>
      </bottom>
      <diagonal/>
    </border>
    <border>
      <left style="medium">
        <color indexed="64"/>
      </left>
      <right style="thin">
        <color indexed="64"/>
      </right>
      <top style="medium">
        <color indexed="64"/>
      </top>
      <bottom style="medium">
        <color indexed="8"/>
      </bottom>
      <diagonal/>
    </border>
    <border>
      <left style="thin">
        <color indexed="64"/>
      </left>
      <right style="medium">
        <color indexed="64"/>
      </right>
      <top style="medium">
        <color indexed="64"/>
      </top>
      <bottom style="medium">
        <color indexed="8"/>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8"/>
      </bottom>
      <diagonal/>
    </border>
    <border>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64"/>
      </top>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medium">
        <color indexed="64"/>
      </bottom>
      <diagonal/>
    </border>
    <border>
      <left style="medium">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3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9"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ill="0" applyBorder="0" applyAlignment="0" applyProtection="0"/>
    <xf numFmtId="7" fontId="10" fillId="0" borderId="0" applyFont="0" applyFill="0" applyBorder="0" applyAlignment="0" applyProtection="0"/>
    <xf numFmtId="166" fontId="5" fillId="0" borderId="0" applyFill="0" applyBorder="0" applyAlignment="0" applyProtection="0"/>
    <xf numFmtId="167" fontId="5" fillId="0" borderId="0" applyFill="0" applyBorder="0" applyAlignment="0" applyProtection="0"/>
    <xf numFmtId="2" fontId="5" fillId="0" borderId="0" applyFill="0" applyBorder="0" applyAlignment="0" applyProtection="0"/>
    <xf numFmtId="0" fontId="11" fillId="0" borderId="0" applyNumberFormat="0" applyFill="0" applyBorder="0" applyAlignment="0" applyProtection="0"/>
    <xf numFmtId="0" fontId="5" fillId="0" borderId="0"/>
    <xf numFmtId="0" fontId="1" fillId="0" borderId="0"/>
    <xf numFmtId="0" fontId="1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 fontId="5" fillId="0" borderId="0" applyFont="0" applyFill="0" applyBorder="0" applyAlignment="0" applyProtection="0"/>
    <xf numFmtId="0" fontId="12" fillId="0" borderId="0"/>
    <xf numFmtId="0" fontId="14" fillId="0" borderId="0"/>
    <xf numFmtId="0" fontId="20" fillId="0" borderId="0" applyNumberForma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0" fontId="34" fillId="0" borderId="0" applyNumberFormat="0" applyFill="0" applyBorder="0" applyAlignment="0" applyProtection="0"/>
    <xf numFmtId="0" fontId="38" fillId="0" borderId="0" applyNumberFormat="0" applyFill="0" applyBorder="0" applyAlignment="0" applyProtection="0">
      <alignment vertical="top"/>
      <protection locked="0"/>
    </xf>
    <xf numFmtId="44" fontId="1" fillId="0" borderId="0" applyFont="0" applyFill="0" applyBorder="0" applyAlignment="0" applyProtection="0"/>
  </cellStyleXfs>
  <cellXfs count="558">
    <xf numFmtId="0" fontId="0" fillId="0" borderId="0" xfId="0"/>
    <xf numFmtId="0" fontId="2" fillId="0" borderId="0" xfId="0" applyFont="1"/>
    <xf numFmtId="0" fontId="3" fillId="0" borderId="0" xfId="0" applyFont="1"/>
    <xf numFmtId="0" fontId="4" fillId="0" borderId="0" xfId="0" applyFont="1" applyAlignment="1">
      <alignment horizontal="center"/>
    </xf>
    <xf numFmtId="0" fontId="0" fillId="0" borderId="0" xfId="0" applyBorder="1"/>
    <xf numFmtId="0" fontId="0" fillId="0" borderId="0" xfId="0" applyBorder="1" applyAlignment="1">
      <alignment horizontal="center"/>
    </xf>
    <xf numFmtId="3" fontId="5" fillId="0" borderId="1" xfId="0" applyNumberFormat="1" applyFont="1" applyFill="1" applyBorder="1" applyProtection="1">
      <protection hidden="1"/>
    </xf>
    <xf numFmtId="3" fontId="0" fillId="0" borderId="1" xfId="0" applyNumberFormat="1" applyBorder="1" applyAlignment="1">
      <alignment horizontal="center"/>
    </xf>
    <xf numFmtId="3" fontId="5" fillId="0" borderId="0" xfId="0" applyNumberFormat="1" applyFont="1" applyFill="1" applyBorder="1" applyAlignment="1" applyProtection="1">
      <alignment horizontal="left"/>
      <protection hidden="1"/>
    </xf>
    <xf numFmtId="3" fontId="7" fillId="0" borderId="0" xfId="1" applyNumberFormat="1" applyFont="1" applyFill="1" applyBorder="1" applyProtection="1">
      <protection hidden="1"/>
    </xf>
    <xf numFmtId="3" fontId="5" fillId="0" borderId="2" xfId="0" applyNumberFormat="1" applyFont="1" applyFill="1" applyBorder="1" applyAlignment="1" applyProtection="1">
      <alignment horizontal="left"/>
      <protection hidden="1"/>
    </xf>
    <xf numFmtId="3" fontId="7" fillId="0" borderId="2" xfId="1" applyNumberFormat="1" applyFont="1" applyFill="1" applyBorder="1" applyProtection="1">
      <protection hidden="1"/>
    </xf>
    <xf numFmtId="3" fontId="5" fillId="0" borderId="0" xfId="0" applyNumberFormat="1" applyFont="1" applyFill="1"/>
    <xf numFmtId="3" fontId="7" fillId="0" borderId="0" xfId="0" applyNumberFormat="1" applyFont="1" applyFill="1" applyBorder="1" applyAlignment="1" applyProtection="1">
      <alignment horizontal="right"/>
      <protection hidden="1"/>
    </xf>
    <xf numFmtId="9" fontId="7" fillId="0" borderId="0" xfId="1" applyNumberFormat="1" applyFont="1" applyFill="1" applyBorder="1" applyAlignment="1">
      <alignment horizontal="right"/>
    </xf>
    <xf numFmtId="164" fontId="5" fillId="0" borderId="0" xfId="1" applyNumberFormat="1" applyFont="1" applyFill="1" applyBorder="1" applyAlignment="1">
      <alignment horizontal="right"/>
    </xf>
    <xf numFmtId="164" fontId="5" fillId="0" borderId="0" xfId="0" applyNumberFormat="1" applyFont="1" applyFill="1" applyBorder="1" applyAlignment="1">
      <alignment horizontal="center"/>
    </xf>
    <xf numFmtId="3" fontId="5" fillId="0" borderId="0" xfId="0" applyNumberFormat="1" applyFont="1" applyFill="1" applyBorder="1" applyProtection="1">
      <protection hidden="1"/>
    </xf>
    <xf numFmtId="0" fontId="0" fillId="0" borderId="0" xfId="0" applyAlignment="1">
      <alignment horizontal="center"/>
    </xf>
    <xf numFmtId="0" fontId="5" fillId="0" borderId="0" xfId="0" applyFont="1" applyFill="1"/>
    <xf numFmtId="0" fontId="5" fillId="0" borderId="0" xfId="4"/>
    <xf numFmtId="37" fontId="5" fillId="0" borderId="0" xfId="4" applyNumberFormat="1" applyBorder="1" applyAlignment="1">
      <alignment wrapText="1"/>
    </xf>
    <xf numFmtId="37" fontId="5" fillId="0" borderId="0" xfId="4" applyNumberFormat="1"/>
    <xf numFmtId="3" fontId="0" fillId="0" borderId="0" xfId="0" applyNumberFormat="1"/>
    <xf numFmtId="0" fontId="13" fillId="0" borderId="0" xfId="0" applyFont="1"/>
    <xf numFmtId="9" fontId="5" fillId="0" borderId="0" xfId="2" applyFont="1"/>
    <xf numFmtId="168" fontId="5" fillId="0" borderId="0" xfId="4" applyNumberFormat="1"/>
    <xf numFmtId="169" fontId="0" fillId="0" borderId="0" xfId="1" applyNumberFormat="1" applyFont="1"/>
    <xf numFmtId="0" fontId="16" fillId="0" borderId="0" xfId="23" applyFont="1" applyBorder="1" applyAlignment="1">
      <alignment horizontal="center" wrapText="1"/>
    </xf>
    <xf numFmtId="0" fontId="14" fillId="0" borderId="0" xfId="23"/>
    <xf numFmtId="0" fontId="15" fillId="0" borderId="0" xfId="23" applyFont="1"/>
    <xf numFmtId="3" fontId="15" fillId="0" borderId="0" xfId="23" applyNumberFormat="1" applyFont="1" applyAlignment="1">
      <alignment horizontal="right"/>
    </xf>
    <xf numFmtId="164" fontId="15" fillId="0" borderId="0" xfId="23" applyNumberFormat="1" applyFont="1" applyAlignment="1">
      <alignment horizontal="right"/>
    </xf>
    <xf numFmtId="0" fontId="14" fillId="0" borderId="0" xfId="23"/>
    <xf numFmtId="0" fontId="16" fillId="0" borderId="9" xfId="23" applyFont="1" applyBorder="1" applyAlignment="1">
      <alignment horizontal="center" wrapText="1"/>
    </xf>
    <xf numFmtId="0" fontId="16" fillId="0" borderId="8" xfId="23" applyFont="1" applyBorder="1" applyAlignment="1">
      <alignment horizontal="center" wrapText="1"/>
    </xf>
    <xf numFmtId="3" fontId="15" fillId="0" borderId="0" xfId="23" applyNumberFormat="1" applyFont="1" applyAlignment="1">
      <alignment horizontal="right"/>
    </xf>
    <xf numFmtId="0" fontId="16" fillId="0" borderId="0" xfId="23" applyFont="1"/>
    <xf numFmtId="170" fontId="15" fillId="0" borderId="0" xfId="23" applyNumberFormat="1" applyFont="1"/>
    <xf numFmtId="164" fontId="15" fillId="0" borderId="0" xfId="23" applyNumberFormat="1" applyFont="1" applyAlignment="1">
      <alignment horizontal="right"/>
    </xf>
    <xf numFmtId="169" fontId="0" fillId="0" borderId="0" xfId="1" applyNumberFormat="1" applyFont="1" applyAlignment="1">
      <alignment horizontal="center" vertical="top"/>
    </xf>
    <xf numFmtId="9" fontId="7" fillId="0" borderId="0" xfId="2" applyFont="1" applyFill="1" applyBorder="1" applyProtection="1">
      <protection hidden="1"/>
    </xf>
    <xf numFmtId="9" fontId="0" fillId="0" borderId="0" xfId="2" applyFont="1"/>
    <xf numFmtId="0" fontId="20" fillId="0" borderId="0" xfId="24"/>
    <xf numFmtId="169" fontId="13" fillId="0" borderId="0" xfId="1" applyNumberFormat="1" applyFont="1"/>
    <xf numFmtId="0" fontId="13" fillId="0" borderId="0" xfId="0" applyFont="1" applyBorder="1"/>
    <xf numFmtId="169" fontId="13" fillId="0" borderId="0" xfId="1" applyNumberFormat="1" applyFont="1" applyBorder="1"/>
    <xf numFmtId="0" fontId="13" fillId="0" borderId="8" xfId="0" applyFont="1" applyBorder="1"/>
    <xf numFmtId="0" fontId="13" fillId="0" borderId="8" xfId="0" applyFont="1" applyBorder="1" applyAlignment="1">
      <alignment vertical="top" wrapText="1"/>
    </xf>
    <xf numFmtId="0" fontId="13" fillId="0" borderId="16" xfId="0" applyFont="1" applyBorder="1"/>
    <xf numFmtId="0" fontId="13" fillId="0" borderId="6" xfId="0" applyFont="1" applyBorder="1"/>
    <xf numFmtId="0" fontId="13" fillId="0" borderId="17" xfId="0" applyFont="1" applyBorder="1"/>
    <xf numFmtId="171" fontId="13" fillId="0" borderId="8" xfId="1" applyNumberFormat="1" applyFont="1" applyBorder="1"/>
    <xf numFmtId="171" fontId="13" fillId="0" borderId="6" xfId="1" applyNumberFormat="1" applyFont="1" applyBorder="1"/>
    <xf numFmtId="169" fontId="13" fillId="0" borderId="8" xfId="1" applyNumberFormat="1" applyFont="1" applyBorder="1"/>
    <xf numFmtId="169" fontId="13" fillId="0" borderId="6" xfId="1" applyNumberFormat="1" applyFont="1" applyBorder="1"/>
    <xf numFmtId="169" fontId="13" fillId="0" borderId="18" xfId="1" applyNumberFormat="1" applyFont="1" applyBorder="1"/>
    <xf numFmtId="169" fontId="13" fillId="0" borderId="7" xfId="1" applyNumberFormat="1" applyFont="1" applyBorder="1"/>
    <xf numFmtId="169" fontId="13" fillId="0" borderId="8" xfId="0" applyNumberFormat="1" applyFont="1" applyBorder="1"/>
    <xf numFmtId="169" fontId="13" fillId="0" borderId="6" xfId="0" applyNumberFormat="1" applyFont="1" applyBorder="1"/>
    <xf numFmtId="169" fontId="13" fillId="0" borderId="18" xfId="0" applyNumberFormat="1" applyFont="1" applyBorder="1"/>
    <xf numFmtId="169" fontId="13" fillId="0" borderId="7" xfId="0" applyNumberFormat="1" applyFont="1" applyBorder="1"/>
    <xf numFmtId="9" fontId="13" fillId="0" borderId="8" xfId="2" applyFont="1" applyBorder="1"/>
    <xf numFmtId="0" fontId="13" fillId="0" borderId="8" xfId="0" applyFont="1" applyBorder="1" applyAlignment="1">
      <alignment wrapText="1"/>
    </xf>
    <xf numFmtId="0" fontId="13" fillId="0" borderId="16" xfId="0" applyFont="1" applyBorder="1" applyAlignment="1">
      <alignment horizontal="center" vertical="top"/>
    </xf>
    <xf numFmtId="169" fontId="13" fillId="0" borderId="6" xfId="0" applyNumberFormat="1" applyFont="1" applyBorder="1" applyAlignment="1">
      <alignment horizontal="center" vertical="top" wrapText="1"/>
    </xf>
    <xf numFmtId="43" fontId="13" fillId="0" borderId="6" xfId="0" applyNumberFormat="1" applyFont="1" applyBorder="1"/>
    <xf numFmtId="0" fontId="13" fillId="0" borderId="16" xfId="0" applyFont="1" applyBorder="1" applyAlignment="1">
      <alignment horizontal="left" vertical="top"/>
    </xf>
    <xf numFmtId="9" fontId="15" fillId="0" borderId="0" xfId="2" applyFont="1" applyAlignment="1">
      <alignment horizontal="right"/>
    </xf>
    <xf numFmtId="3" fontId="15" fillId="0" borderId="8" xfId="23" applyNumberFormat="1" applyFont="1" applyBorder="1" applyAlignment="1">
      <alignment horizontal="right"/>
    </xf>
    <xf numFmtId="164" fontId="15" fillId="0" borderId="8" xfId="23" applyNumberFormat="1" applyFont="1" applyBorder="1" applyAlignment="1">
      <alignment horizontal="right"/>
    </xf>
    <xf numFmtId="9" fontId="15" fillId="0" borderId="8" xfId="2" applyFont="1" applyBorder="1" applyAlignment="1">
      <alignment horizontal="right"/>
    </xf>
    <xf numFmtId="3" fontId="15" fillId="0" borderId="0" xfId="23" applyNumberFormat="1" applyFont="1" applyBorder="1" applyAlignment="1">
      <alignment horizontal="right"/>
    </xf>
    <xf numFmtId="164" fontId="15" fillId="0" borderId="0" xfId="23" applyNumberFormat="1" applyFont="1" applyBorder="1" applyAlignment="1">
      <alignment horizontal="right"/>
    </xf>
    <xf numFmtId="172" fontId="15" fillId="0" borderId="8" xfId="2" applyNumberFormat="1" applyFont="1" applyBorder="1" applyAlignment="1">
      <alignment horizontal="right"/>
    </xf>
    <xf numFmtId="0" fontId="18" fillId="3" borderId="0" xfId="0" applyFont="1" applyFill="1"/>
    <xf numFmtId="0" fontId="0" fillId="4" borderId="0" xfId="0" applyFill="1" applyBorder="1"/>
    <xf numFmtId="0" fontId="0" fillId="4" borderId="0" xfId="0" applyFill="1" applyBorder="1" applyAlignment="1">
      <alignment horizontal="center"/>
    </xf>
    <xf numFmtId="3" fontId="0" fillId="4" borderId="1" xfId="0" applyNumberFormat="1" applyFill="1" applyBorder="1" applyAlignment="1">
      <alignment horizontal="center"/>
    </xf>
    <xf numFmtId="3" fontId="0" fillId="4" borderId="1" xfId="0" applyNumberFormat="1" applyFill="1" applyBorder="1" applyAlignment="1">
      <alignment horizontal="center" wrapText="1"/>
    </xf>
    <xf numFmtId="9" fontId="0" fillId="4" borderId="0" xfId="0" applyNumberFormat="1" applyFill="1" applyBorder="1"/>
    <xf numFmtId="9" fontId="0" fillId="4" borderId="0" xfId="0" applyNumberFormat="1" applyFill="1" applyBorder="1" applyAlignment="1">
      <alignment horizontal="center"/>
    </xf>
    <xf numFmtId="3" fontId="5" fillId="0" borderId="0" xfId="1" applyNumberFormat="1" applyFont="1" applyFill="1" applyBorder="1" applyAlignment="1">
      <alignment horizontal="right"/>
    </xf>
    <xf numFmtId="9" fontId="0" fillId="4" borderId="0" xfId="2" applyFont="1" applyFill="1" applyBorder="1"/>
    <xf numFmtId="9" fontId="0" fillId="4" borderId="0" xfId="2" applyFont="1" applyFill="1" applyBorder="1" applyAlignment="1">
      <alignment horizontal="center"/>
    </xf>
    <xf numFmtId="1" fontId="0" fillId="4" borderId="0" xfId="0" applyNumberFormat="1" applyFill="1" applyBorder="1"/>
    <xf numFmtId="169" fontId="0" fillId="4" borderId="0" xfId="1" applyNumberFormat="1" applyFont="1" applyFill="1" applyBorder="1"/>
    <xf numFmtId="9" fontId="7" fillId="0" borderId="2" xfId="2" applyFont="1" applyFill="1" applyBorder="1" applyProtection="1">
      <protection hidden="1"/>
    </xf>
    <xf numFmtId="3" fontId="5" fillId="0" borderId="0" xfId="0" applyNumberFormat="1" applyFont="1" applyFill="1" applyBorder="1"/>
    <xf numFmtId="3" fontId="5" fillId="0" borderId="2" xfId="1" applyNumberFormat="1" applyFont="1" applyFill="1" applyBorder="1" applyAlignment="1">
      <alignment horizontal="right"/>
    </xf>
    <xf numFmtId="43" fontId="0" fillId="0" borderId="0" xfId="1" applyFont="1"/>
    <xf numFmtId="169" fontId="0" fillId="0" borderId="2" xfId="1" applyNumberFormat="1" applyFont="1" applyBorder="1"/>
    <xf numFmtId="0" fontId="0" fillId="0" borderId="8" xfId="0" applyBorder="1"/>
    <xf numFmtId="169" fontId="0" fillId="0" borderId="8" xfId="1" applyNumberFormat="1" applyFont="1" applyBorder="1" applyAlignment="1">
      <alignment horizontal="left" vertical="center"/>
    </xf>
    <xf numFmtId="169" fontId="0" fillId="0" borderId="8" xfId="1" applyNumberFormat="1" applyFont="1" applyBorder="1" applyAlignment="1">
      <alignment horizontal="center"/>
    </xf>
    <xf numFmtId="3" fontId="0" fillId="0" borderId="8" xfId="0" applyNumberFormat="1" applyBorder="1"/>
    <xf numFmtId="3" fontId="19" fillId="0" borderId="8" xfId="0" applyNumberFormat="1" applyFont="1" applyBorder="1"/>
    <xf numFmtId="0" fontId="19" fillId="0" borderId="8" xfId="0" applyFont="1" applyBorder="1"/>
    <xf numFmtId="169" fontId="19" fillId="0" borderId="8" xfId="1" applyNumberFormat="1" applyFont="1" applyBorder="1"/>
    <xf numFmtId="169" fontId="0" fillId="0" borderId="8" xfId="0" applyNumberFormat="1" applyBorder="1"/>
    <xf numFmtId="0" fontId="4" fillId="4" borderId="8" xfId="0" applyFont="1" applyFill="1" applyBorder="1" applyAlignment="1">
      <alignment horizontal="center"/>
    </xf>
    <xf numFmtId="0" fontId="0" fillId="0" borderId="0" xfId="0" applyAlignment="1">
      <alignment vertical="top"/>
    </xf>
    <xf numFmtId="0" fontId="0" fillId="0" borderId="0" xfId="0" applyAlignment="1">
      <alignment vertical="top" wrapText="1"/>
    </xf>
    <xf numFmtId="0" fontId="20" fillId="0" borderId="0" xfId="24" applyBorder="1"/>
    <xf numFmtId="0" fontId="0" fillId="0" borderId="0" xfId="0" applyFill="1"/>
    <xf numFmtId="9" fontId="0" fillId="0" borderId="8" xfId="2" applyFont="1" applyBorder="1"/>
    <xf numFmtId="0" fontId="19" fillId="5" borderId="8" xfId="0" applyFont="1" applyFill="1" applyBorder="1"/>
    <xf numFmtId="0" fontId="19" fillId="5" borderId="8" xfId="0" applyFont="1" applyFill="1" applyBorder="1" applyAlignment="1">
      <alignment horizontal="center"/>
    </xf>
    <xf numFmtId="9" fontId="0" fillId="0" borderId="8" xfId="2" applyFont="1" applyBorder="1" applyAlignment="1">
      <alignment horizontal="center"/>
    </xf>
    <xf numFmtId="169" fontId="0" fillId="0" borderId="8" xfId="0" applyNumberFormat="1" applyBorder="1" applyAlignment="1">
      <alignment horizontal="center"/>
    </xf>
    <xf numFmtId="171" fontId="0" fillId="0" borderId="8" xfId="0" applyNumberFormat="1" applyBorder="1"/>
    <xf numFmtId="0" fontId="16" fillId="0" borderId="8" xfId="23" applyFont="1" applyBorder="1" applyAlignment="1">
      <alignment horizontal="center" wrapText="1"/>
    </xf>
    <xf numFmtId="37" fontId="8" fillId="4" borderId="8" xfId="3" applyNumberFormat="1" applyFont="1" applyFill="1" applyBorder="1" applyAlignment="1">
      <alignment horizontal="right" wrapText="1"/>
    </xf>
    <xf numFmtId="0" fontId="8" fillId="4" borderId="8" xfId="3" applyFont="1" applyFill="1" applyBorder="1" applyAlignment="1">
      <alignment horizontal="right" wrapText="1"/>
    </xf>
    <xf numFmtId="37" fontId="6" fillId="2" borderId="8" xfId="3" applyNumberFormat="1" applyFont="1" applyFill="1" applyBorder="1" applyAlignment="1">
      <alignment horizontal="right" vertical="top"/>
    </xf>
    <xf numFmtId="0" fontId="5" fillId="0" borderId="8" xfId="4" applyBorder="1"/>
    <xf numFmtId="37" fontId="6" fillId="0" borderId="8" xfId="3" applyNumberFormat="1" applyFont="1" applyFill="1" applyBorder="1" applyAlignment="1">
      <alignment horizontal="right" vertical="top"/>
    </xf>
    <xf numFmtId="3" fontId="5" fillId="0" borderId="8" xfId="4" applyNumberFormat="1" applyBorder="1"/>
    <xf numFmtId="0" fontId="5" fillId="0" borderId="0" xfId="4" applyBorder="1"/>
    <xf numFmtId="0" fontId="0" fillId="0" borderId="0" xfId="0" applyBorder="1" applyAlignment="1">
      <alignment wrapText="1"/>
    </xf>
    <xf numFmtId="0" fontId="5" fillId="0" borderId="8" xfId="3" applyBorder="1"/>
    <xf numFmtId="37" fontId="6" fillId="2" borderId="8" xfId="3" applyNumberFormat="1" applyFont="1" applyFill="1" applyBorder="1" applyAlignment="1">
      <alignment vertical="top"/>
    </xf>
    <xf numFmtId="37" fontId="6" fillId="5" borderId="8" xfId="3" applyNumberFormat="1" applyFont="1" applyFill="1" applyBorder="1" applyAlignment="1">
      <alignment vertical="top"/>
    </xf>
    <xf numFmtId="169" fontId="5" fillId="0" borderId="0" xfId="1" applyNumberFormat="1" applyFont="1"/>
    <xf numFmtId="0" fontId="15" fillId="0" borderId="8" xfId="23" applyFont="1" applyBorder="1"/>
    <xf numFmtId="0" fontId="16" fillId="0" borderId="8" xfId="23" applyFont="1" applyBorder="1"/>
    <xf numFmtId="170" fontId="15" fillId="0" borderId="8" xfId="23" applyNumberFormat="1" applyFont="1" applyBorder="1"/>
    <xf numFmtId="0" fontId="16" fillId="0" borderId="8" xfId="23" applyFont="1" applyBorder="1" applyAlignment="1">
      <alignment vertical="center"/>
    </xf>
    <xf numFmtId="170" fontId="15" fillId="0" borderId="8" xfId="23" applyNumberFormat="1" applyFont="1" applyBorder="1" applyAlignment="1">
      <alignment vertical="center"/>
    </xf>
    <xf numFmtId="169" fontId="15" fillId="0" borderId="8" xfId="1" applyNumberFormat="1" applyFont="1" applyBorder="1" applyAlignment="1">
      <alignment horizontal="right"/>
    </xf>
    <xf numFmtId="0" fontId="6" fillId="4" borderId="8" xfId="3" applyFont="1" applyFill="1" applyBorder="1" applyAlignment="1">
      <alignment horizontal="left" wrapText="1"/>
    </xf>
    <xf numFmtId="37" fontId="6" fillId="4" borderId="8" xfId="3" applyNumberFormat="1" applyFont="1" applyFill="1" applyBorder="1" applyAlignment="1">
      <alignment horizontal="center" wrapText="1"/>
    </xf>
    <xf numFmtId="0" fontId="8" fillId="5" borderId="9" xfId="3" applyFont="1" applyFill="1" applyBorder="1" applyAlignment="1"/>
    <xf numFmtId="0" fontId="8" fillId="5" borderId="13" xfId="3" applyFont="1" applyFill="1" applyBorder="1" applyAlignment="1"/>
    <xf numFmtId="0" fontId="8" fillId="5" borderId="5" xfId="3" applyFont="1" applyFill="1" applyBorder="1" applyAlignment="1"/>
    <xf numFmtId="0" fontId="16" fillId="0" borderId="8" xfId="23" applyFont="1" applyBorder="1" applyAlignment="1">
      <alignment horizontal="center" wrapText="1"/>
    </xf>
    <xf numFmtId="0" fontId="16" fillId="0" borderId="9" xfId="23" applyFont="1" applyBorder="1" applyAlignment="1">
      <alignment horizontal="center" wrapText="1"/>
    </xf>
    <xf numFmtId="9" fontId="0" fillId="0" borderId="0" xfId="0" applyNumberFormat="1" applyBorder="1"/>
    <xf numFmtId="169" fontId="0" fillId="0" borderId="0" xfId="0" applyNumberFormat="1" applyBorder="1" applyAlignment="1">
      <alignment horizontal="center"/>
    </xf>
    <xf numFmtId="0" fontId="0" fillId="0" borderId="22" xfId="0" applyBorder="1"/>
    <xf numFmtId="3" fontId="0" fillId="0" borderId="23" xfId="0" applyNumberFormat="1" applyBorder="1" applyAlignment="1">
      <alignment horizontal="left"/>
    </xf>
    <xf numFmtId="3" fontId="0" fillId="0" borderId="24" xfId="0" applyNumberFormat="1" applyBorder="1" applyAlignment="1">
      <alignment horizontal="left"/>
    </xf>
    <xf numFmtId="0" fontId="0" fillId="0" borderId="14" xfId="0" applyBorder="1"/>
    <xf numFmtId="0" fontId="0" fillId="0" borderId="15" xfId="0" applyBorder="1"/>
    <xf numFmtId="0" fontId="0" fillId="0" borderId="4" xfId="0" applyBorder="1"/>
    <xf numFmtId="170" fontId="15" fillId="0" borderId="16" xfId="23" applyNumberFormat="1" applyFont="1" applyBorder="1" applyAlignment="1">
      <alignment vertical="center"/>
    </xf>
    <xf numFmtId="0" fontId="0" fillId="0" borderId="6" xfId="0" applyBorder="1"/>
    <xf numFmtId="170" fontId="15" fillId="0" borderId="6" xfId="23" applyNumberFormat="1" applyFont="1" applyBorder="1" applyAlignment="1">
      <alignment vertical="center"/>
    </xf>
    <xf numFmtId="0" fontId="0" fillId="0" borderId="16" xfId="0" applyBorder="1"/>
    <xf numFmtId="0" fontId="0" fillId="0" borderId="17" xfId="0" applyBorder="1"/>
    <xf numFmtId="0" fontId="0" fillId="0" borderId="18" xfId="0" applyBorder="1"/>
    <xf numFmtId="0" fontId="0" fillId="0" borderId="7" xfId="0" applyBorder="1"/>
    <xf numFmtId="9" fontId="16" fillId="0" borderId="8" xfId="2" applyFont="1" applyBorder="1" applyAlignment="1">
      <alignment horizontal="left" wrapText="1"/>
    </xf>
    <xf numFmtId="0" fontId="19" fillId="0" borderId="0" xfId="0" applyFont="1" applyAlignment="1">
      <alignment wrapText="1"/>
    </xf>
    <xf numFmtId="0" fontId="13" fillId="5" borderId="16" xfId="0" applyFont="1" applyFill="1" applyBorder="1"/>
    <xf numFmtId="0" fontId="13" fillId="5" borderId="8" xfId="0" applyFont="1" applyFill="1" applyBorder="1"/>
    <xf numFmtId="9" fontId="13" fillId="5" borderId="8" xfId="2" applyFont="1" applyFill="1" applyBorder="1"/>
    <xf numFmtId="0" fontId="13" fillId="5" borderId="6" xfId="0" applyFont="1" applyFill="1" applyBorder="1"/>
    <xf numFmtId="0" fontId="24" fillId="0" borderId="0" xfId="0" applyFont="1"/>
    <xf numFmtId="0" fontId="25" fillId="0" borderId="0" xfId="0" applyFont="1"/>
    <xf numFmtId="0" fontId="5" fillId="0" borderId="0" xfId="23" applyFont="1"/>
    <xf numFmtId="0" fontId="26" fillId="0" borderId="0" xfId="0" applyFont="1" applyAlignment="1">
      <alignment vertical="center"/>
    </xf>
    <xf numFmtId="0" fontId="26" fillId="0" borderId="0" xfId="0" applyFont="1"/>
    <xf numFmtId="0" fontId="20" fillId="0" borderId="0" xfId="24" quotePrefix="1"/>
    <xf numFmtId="37" fontId="5" fillId="0" borderId="0" xfId="4" applyNumberFormat="1" applyBorder="1" applyAlignment="1"/>
    <xf numFmtId="0" fontId="19" fillId="0" borderId="0" xfId="0" applyFont="1" applyAlignment="1">
      <alignment vertical="top"/>
    </xf>
    <xf numFmtId="0" fontId="0" fillId="0" borderId="0" xfId="0" applyFont="1"/>
    <xf numFmtId="0" fontId="0" fillId="4" borderId="8" xfId="0" applyFont="1" applyFill="1" applyBorder="1"/>
    <xf numFmtId="169" fontId="0" fillId="4" borderId="8" xfId="0" applyNumberFormat="1" applyFont="1" applyFill="1" applyBorder="1"/>
    <xf numFmtId="169" fontId="0" fillId="4" borderId="8" xfId="1" applyNumberFormat="1" applyFont="1" applyFill="1" applyBorder="1" applyAlignment="1">
      <alignment horizontal="left" vertical="center"/>
    </xf>
    <xf numFmtId="169" fontId="0" fillId="4" borderId="8" xfId="1" applyNumberFormat="1" applyFont="1" applyFill="1" applyBorder="1" applyAlignment="1">
      <alignment horizontal="right" vertical="center"/>
    </xf>
    <xf numFmtId="0" fontId="0" fillId="4" borderId="8" xfId="0" applyFont="1" applyFill="1" applyBorder="1" applyAlignment="1">
      <alignment horizontal="left" vertical="center"/>
    </xf>
    <xf numFmtId="0" fontId="0" fillId="0" borderId="8" xfId="0" applyFont="1" applyBorder="1" applyAlignment="1">
      <alignment vertical="top" wrapText="1"/>
    </xf>
    <xf numFmtId="169" fontId="0" fillId="0" borderId="8" xfId="1" applyNumberFormat="1" applyFont="1" applyFill="1" applyBorder="1" applyAlignment="1">
      <alignment horizontal="right" vertical="center" wrapText="1"/>
    </xf>
    <xf numFmtId="169" fontId="0" fillId="0" borderId="8" xfId="1" applyNumberFormat="1" applyFont="1" applyFill="1" applyBorder="1" applyAlignment="1">
      <alignment horizontal="left" vertical="center"/>
    </xf>
    <xf numFmtId="169" fontId="29" fillId="0" borderId="8" xfId="1" applyNumberFormat="1" applyFont="1" applyFill="1" applyBorder="1" applyAlignment="1">
      <alignment horizontal="right" vertical="center"/>
    </xf>
    <xf numFmtId="0" fontId="0" fillId="0" borderId="8" xfId="0" applyFont="1" applyFill="1" applyBorder="1" applyAlignment="1">
      <alignment horizontal="left" vertical="center"/>
    </xf>
    <xf numFmtId="169" fontId="0" fillId="0" borderId="8" xfId="1" applyNumberFormat="1" applyFont="1" applyBorder="1" applyAlignment="1">
      <alignment horizontal="right" vertical="center"/>
    </xf>
    <xf numFmtId="0" fontId="28" fillId="0" borderId="8" xfId="0" applyFont="1" applyFill="1" applyBorder="1" applyAlignment="1">
      <alignment horizontal="center" wrapText="1"/>
    </xf>
    <xf numFmtId="0" fontId="0" fillId="0" borderId="8" xfId="0" applyFont="1" applyFill="1" applyBorder="1" applyAlignment="1">
      <alignment horizontal="center"/>
    </xf>
    <xf numFmtId="0" fontId="19" fillId="0" borderId="0" xfId="0" applyFont="1"/>
    <xf numFmtId="0" fontId="19" fillId="4" borderId="8" xfId="0" applyFont="1" applyFill="1" applyBorder="1" applyAlignment="1">
      <alignment horizontal="left" vertical="top" wrapText="1"/>
    </xf>
    <xf numFmtId="0" fontId="19" fillId="4" borderId="8" xfId="0" applyFont="1" applyFill="1" applyBorder="1" applyAlignment="1">
      <alignment horizontal="left" vertical="center" wrapText="1"/>
    </xf>
    <xf numFmtId="0" fontId="0" fillId="0" borderId="0" xfId="0" applyFont="1" applyAlignment="1">
      <alignment wrapText="1"/>
    </xf>
    <xf numFmtId="0" fontId="0" fillId="0" borderId="0" xfId="0" applyFont="1" applyFill="1"/>
    <xf numFmtId="169" fontId="1" fillId="4" borderId="8" xfId="1" applyNumberFormat="1" applyFont="1" applyFill="1" applyBorder="1"/>
    <xf numFmtId="169" fontId="5" fillId="4" borderId="8" xfId="1" applyNumberFormat="1" applyFont="1" applyFill="1" applyBorder="1"/>
    <xf numFmtId="0" fontId="0" fillId="0" borderId="8" xfId="0" applyFont="1" applyFill="1" applyBorder="1"/>
    <xf numFmtId="169" fontId="1" fillId="0" borderId="8" xfId="1" applyNumberFormat="1" applyFont="1" applyFill="1" applyBorder="1"/>
    <xf numFmtId="169" fontId="5" fillId="0" borderId="8" xfId="1" applyNumberFormat="1" applyFont="1" applyFill="1" applyBorder="1"/>
    <xf numFmtId="0" fontId="0" fillId="4" borderId="8" xfId="0" applyFont="1" applyFill="1" applyBorder="1" applyAlignment="1">
      <alignment horizontal="center" wrapText="1"/>
    </xf>
    <xf numFmtId="169" fontId="5" fillId="4" borderId="8" xfId="1" applyNumberFormat="1" applyFont="1" applyFill="1" applyBorder="1" applyAlignment="1">
      <alignment horizontal="center" wrapText="1"/>
    </xf>
    <xf numFmtId="0" fontId="0" fillId="4" borderId="8" xfId="0" applyFill="1" applyBorder="1" applyAlignment="1">
      <alignment wrapText="1"/>
    </xf>
    <xf numFmtId="0" fontId="0" fillId="4" borderId="0" xfId="0" applyFont="1" applyFill="1"/>
    <xf numFmtId="9" fontId="0" fillId="0" borderId="8" xfId="2" applyFont="1" applyBorder="1" applyAlignment="1">
      <alignment horizontal="left"/>
    </xf>
    <xf numFmtId="169" fontId="5" fillId="0" borderId="8" xfId="1" applyNumberFormat="1" applyFont="1" applyBorder="1" applyAlignment="1">
      <alignment horizontal="center" wrapText="1"/>
    </xf>
    <xf numFmtId="9" fontId="0" fillId="4" borderId="8" xfId="2" applyFont="1" applyFill="1" applyBorder="1" applyAlignment="1">
      <alignment horizontal="left"/>
    </xf>
    <xf numFmtId="0" fontId="0" fillId="4" borderId="8" xfId="0" applyFill="1" applyBorder="1"/>
    <xf numFmtId="0" fontId="0" fillId="0" borderId="8" xfId="0" applyBorder="1" applyAlignment="1">
      <alignment horizontal="center" vertical="center"/>
    </xf>
    <xf numFmtId="0" fontId="0" fillId="0" borderId="27" xfId="0" applyBorder="1" applyAlignment="1">
      <alignment horizontal="center" vertical="center"/>
    </xf>
    <xf numFmtId="0" fontId="0" fillId="0" borderId="8" xfId="0" applyFont="1" applyBorder="1"/>
    <xf numFmtId="0" fontId="0" fillId="0" borderId="0" xfId="0" applyFont="1" applyFill="1" applyAlignment="1">
      <alignment wrapText="1"/>
    </xf>
    <xf numFmtId="0" fontId="0" fillId="4" borderId="8" xfId="0" applyFont="1" applyFill="1" applyBorder="1" applyAlignment="1">
      <alignment wrapText="1"/>
    </xf>
    <xf numFmtId="0" fontId="30" fillId="4" borderId="8" xfId="0" applyFont="1" applyFill="1" applyBorder="1" applyAlignment="1">
      <alignment horizontal="center" wrapText="1"/>
    </xf>
    <xf numFmtId="43" fontId="0" fillId="0" borderId="0" xfId="0" applyNumberFormat="1" applyFont="1"/>
    <xf numFmtId="169" fontId="19" fillId="0" borderId="0" xfId="1" applyNumberFormat="1" applyFont="1"/>
    <xf numFmtId="169" fontId="19" fillId="4" borderId="8" xfId="1" applyNumberFormat="1" applyFont="1" applyFill="1" applyBorder="1"/>
    <xf numFmtId="169" fontId="31" fillId="4" borderId="8" xfId="1" applyNumberFormat="1" applyFont="1" applyFill="1" applyBorder="1"/>
    <xf numFmtId="169" fontId="0" fillId="4" borderId="8" xfId="1" applyNumberFormat="1" applyFont="1" applyFill="1" applyBorder="1"/>
    <xf numFmtId="169" fontId="28" fillId="4" borderId="8" xfId="1" applyNumberFormat="1" applyFont="1" applyFill="1" applyBorder="1"/>
    <xf numFmtId="169" fontId="31" fillId="0" borderId="8" xfId="1" applyNumberFormat="1" applyFont="1" applyBorder="1"/>
    <xf numFmtId="169" fontId="0" fillId="0" borderId="8" xfId="1" applyNumberFormat="1" applyFont="1" applyBorder="1"/>
    <xf numFmtId="169" fontId="28" fillId="0" borderId="8" xfId="1" applyNumberFormat="1" applyFont="1" applyBorder="1"/>
    <xf numFmtId="0" fontId="19" fillId="4" borderId="8" xfId="0" applyFont="1" applyFill="1" applyBorder="1" applyAlignment="1">
      <alignment wrapText="1"/>
    </xf>
    <xf numFmtId="0" fontId="19" fillId="4" borderId="8" xfId="0" applyFont="1" applyFill="1" applyBorder="1" applyAlignment="1">
      <alignment horizontal="center" wrapText="1"/>
    </xf>
    <xf numFmtId="169" fontId="28" fillId="0" borderId="8" xfId="1" applyNumberFormat="1" applyFont="1" applyFill="1" applyBorder="1" applyAlignment="1">
      <alignment wrapText="1"/>
    </xf>
    <xf numFmtId="0" fontId="0" fillId="0" borderId="0" xfId="0" applyFont="1" applyAlignment="1">
      <alignment vertical="top"/>
    </xf>
    <xf numFmtId="0" fontId="0" fillId="0" borderId="0" xfId="0" applyFont="1" applyFill="1" applyBorder="1" applyAlignment="1">
      <alignment horizontal="left" vertical="center"/>
    </xf>
    <xf numFmtId="9" fontId="0" fillId="5" borderId="0" xfId="2" applyFont="1" applyFill="1"/>
    <xf numFmtId="169" fontId="0" fillId="0" borderId="8" xfId="0" applyNumberFormat="1" applyFont="1" applyBorder="1"/>
    <xf numFmtId="169" fontId="0" fillId="5" borderId="8" xfId="0" applyNumberFormat="1" applyFont="1" applyFill="1" applyBorder="1"/>
    <xf numFmtId="0" fontId="0" fillId="0" borderId="8" xfId="0" applyFont="1" applyFill="1" applyBorder="1" applyAlignment="1">
      <alignment wrapText="1"/>
    </xf>
    <xf numFmtId="43" fontId="0" fillId="5" borderId="8" xfId="0" applyNumberFormat="1" applyFont="1" applyFill="1" applyBorder="1"/>
    <xf numFmtId="0" fontId="28" fillId="0" borderId="8" xfId="0" applyFont="1" applyFill="1" applyBorder="1" applyAlignment="1">
      <alignment wrapText="1"/>
    </xf>
    <xf numFmtId="0" fontId="0" fillId="0" borderId="8" xfId="0" applyFont="1" applyBorder="1" applyAlignment="1">
      <alignment horizontal="center" vertical="center"/>
    </xf>
    <xf numFmtId="0" fontId="19" fillId="4" borderId="8" xfId="0" applyFont="1" applyFill="1" applyBorder="1"/>
    <xf numFmtId="0" fontId="31" fillId="4" borderId="8" xfId="0" applyFont="1" applyFill="1" applyBorder="1" applyAlignment="1">
      <alignment wrapText="1"/>
    </xf>
    <xf numFmtId="0" fontId="0" fillId="6" borderId="8" xfId="0" applyFont="1" applyFill="1" applyBorder="1" applyAlignment="1">
      <alignment wrapText="1"/>
    </xf>
    <xf numFmtId="9" fontId="0" fillId="0" borderId="0" xfId="19" applyFont="1" applyBorder="1"/>
    <xf numFmtId="9" fontId="0" fillId="0" borderId="0" xfId="0" applyNumberFormat="1" applyFont="1" applyBorder="1"/>
    <xf numFmtId="0" fontId="0" fillId="0" borderId="0" xfId="0" applyFont="1" applyBorder="1"/>
    <xf numFmtId="9" fontId="0" fillId="0" borderId="8" xfId="19" applyFont="1" applyBorder="1"/>
    <xf numFmtId="9" fontId="0" fillId="0" borderId="8" xfId="0" applyNumberFormat="1" applyFont="1" applyBorder="1"/>
    <xf numFmtId="0" fontId="0" fillId="0" borderId="8" xfId="0" applyFont="1" applyBorder="1" applyAlignment="1">
      <alignment wrapText="1"/>
    </xf>
    <xf numFmtId="0" fontId="28" fillId="4" borderId="8" xfId="0" applyFont="1" applyFill="1" applyBorder="1"/>
    <xf numFmtId="0" fontId="31" fillId="4" borderId="8" xfId="14" applyFont="1" applyFill="1" applyBorder="1" applyAlignment="1">
      <alignment wrapText="1"/>
    </xf>
    <xf numFmtId="0" fontId="28" fillId="0" borderId="0" xfId="14" applyFont="1" applyFill="1" applyBorder="1"/>
    <xf numFmtId="169" fontId="0" fillId="0" borderId="0" xfId="0" applyNumberFormat="1" applyFont="1" applyBorder="1"/>
    <xf numFmtId="173" fontId="28" fillId="0" borderId="8" xfId="14" applyNumberFormat="1" applyFont="1" applyBorder="1"/>
    <xf numFmtId="0" fontId="0" fillId="0" borderId="25" xfId="0" applyFont="1" applyBorder="1"/>
    <xf numFmtId="0" fontId="28" fillId="0" borderId="25" xfId="14" applyFont="1" applyFill="1" applyBorder="1"/>
    <xf numFmtId="0" fontId="28" fillId="0" borderId="30" xfId="14" applyFont="1" applyBorder="1"/>
    <xf numFmtId="0" fontId="28" fillId="0" borderId="8" xfId="14" applyFont="1" applyBorder="1"/>
    <xf numFmtId="169" fontId="0" fillId="0" borderId="0" xfId="1" applyNumberFormat="1" applyFont="1" applyBorder="1"/>
    <xf numFmtId="9" fontId="28" fillId="0" borderId="0" xfId="19" applyFont="1" applyBorder="1"/>
    <xf numFmtId="0" fontId="28" fillId="0" borderId="0" xfId="14" applyFont="1" applyBorder="1"/>
    <xf numFmtId="9" fontId="28" fillId="0" borderId="8" xfId="19" applyNumberFormat="1" applyFont="1" applyBorder="1"/>
    <xf numFmtId="9" fontId="28" fillId="0" borderId="8" xfId="19" applyFont="1" applyBorder="1"/>
    <xf numFmtId="0" fontId="28" fillId="5" borderId="0" xfId="0" applyFont="1" applyFill="1" applyAlignment="1"/>
    <xf numFmtId="9" fontId="0" fillId="0" borderId="0" xfId="0" applyNumberFormat="1" applyFont="1"/>
    <xf numFmtId="9" fontId="28" fillId="5" borderId="8" xfId="19" applyFont="1" applyFill="1" applyBorder="1"/>
    <xf numFmtId="0" fontId="27" fillId="0" borderId="0" xfId="0" applyFont="1"/>
    <xf numFmtId="0" fontId="28" fillId="5" borderId="0" xfId="0" applyFont="1" applyFill="1"/>
    <xf numFmtId="9" fontId="32" fillId="2" borderId="0" xfId="2" applyFont="1" applyFill="1" applyBorder="1" applyAlignment="1">
      <alignment horizontal="right" vertical="top"/>
    </xf>
    <xf numFmtId="169" fontId="19" fillId="0" borderId="0" xfId="0" applyNumberFormat="1" applyFont="1" applyBorder="1" applyAlignment="1">
      <alignment horizontal="center"/>
    </xf>
    <xf numFmtId="0" fontId="19" fillId="0" borderId="0" xfId="0" applyFont="1" applyBorder="1" applyAlignment="1"/>
    <xf numFmtId="0" fontId="19" fillId="0" borderId="0" xfId="0" applyFont="1" applyBorder="1" applyAlignment="1">
      <alignment wrapText="1"/>
    </xf>
    <xf numFmtId="0" fontId="19" fillId="0" borderId="0" xfId="0" applyFont="1" applyBorder="1" applyAlignment="1">
      <alignment horizontal="center" vertical="center"/>
    </xf>
    <xf numFmtId="9" fontId="32" fillId="2" borderId="8" xfId="2" applyFont="1" applyFill="1" applyBorder="1" applyAlignment="1">
      <alignment horizontal="right" vertical="top"/>
    </xf>
    <xf numFmtId="169" fontId="19" fillId="0" borderId="11" xfId="0" applyNumberFormat="1" applyFont="1" applyBorder="1" applyAlignment="1"/>
    <xf numFmtId="169" fontId="19" fillId="0" borderId="28" xfId="0" applyNumberFormat="1" applyFont="1" applyBorder="1" applyAlignment="1"/>
    <xf numFmtId="169" fontId="19" fillId="0" borderId="31" xfId="0" applyNumberFormat="1" applyFont="1" applyBorder="1" applyAlignment="1"/>
    <xf numFmtId="0" fontId="19" fillId="0" borderId="11" xfId="0" applyFont="1" applyBorder="1" applyAlignment="1"/>
    <xf numFmtId="0" fontId="19" fillId="0" borderId="28" xfId="0" applyFont="1" applyBorder="1" applyAlignment="1"/>
    <xf numFmtId="0" fontId="19" fillId="0" borderId="25" xfId="0" applyFont="1" applyBorder="1" applyAlignment="1">
      <alignment wrapText="1"/>
    </xf>
    <xf numFmtId="37" fontId="32" fillId="2" borderId="8" xfId="3" applyNumberFormat="1" applyFont="1" applyFill="1" applyBorder="1" applyAlignment="1">
      <alignment horizontal="right" vertical="top"/>
    </xf>
    <xf numFmtId="37" fontId="32" fillId="0" borderId="8" xfId="3" applyNumberFormat="1" applyFont="1" applyFill="1" applyBorder="1" applyAlignment="1">
      <alignment horizontal="right" vertical="top"/>
    </xf>
    <xf numFmtId="169" fontId="19" fillId="0" borderId="5" xfId="0" applyNumberFormat="1" applyFont="1" applyBorder="1" applyAlignment="1"/>
    <xf numFmtId="169" fontId="19" fillId="0" borderId="13" xfId="0" applyNumberFormat="1" applyFont="1" applyBorder="1" applyAlignment="1"/>
    <xf numFmtId="169" fontId="19" fillId="0" borderId="9" xfId="0" applyNumberFormat="1" applyFont="1" applyBorder="1" applyAlignment="1"/>
    <xf numFmtId="0" fontId="19" fillId="0" borderId="5" xfId="0" applyFont="1" applyBorder="1" applyAlignment="1"/>
    <xf numFmtId="0" fontId="19" fillId="0" borderId="13" xfId="0" applyFont="1" applyBorder="1" applyAlignment="1"/>
    <xf numFmtId="0" fontId="19" fillId="0" borderId="8" xfId="0" applyFont="1" applyBorder="1" applyAlignment="1">
      <alignment wrapText="1"/>
    </xf>
    <xf numFmtId="9" fontId="0" fillId="0" borderId="8" xfId="2" applyNumberFormat="1" applyFont="1" applyBorder="1"/>
    <xf numFmtId="9" fontId="0" fillId="0" borderId="8" xfId="2" applyNumberFormat="1" applyFont="1" applyFill="1" applyBorder="1"/>
    <xf numFmtId="9" fontId="0" fillId="0" borderId="8" xfId="2" applyFont="1" applyFill="1" applyBorder="1"/>
    <xf numFmtId="9" fontId="0" fillId="0" borderId="32" xfId="2" applyNumberFormat="1" applyFont="1" applyFill="1" applyBorder="1"/>
    <xf numFmtId="0" fontId="0" fillId="0" borderId="27" xfId="0" applyFont="1" applyBorder="1" applyAlignment="1">
      <alignment horizontal="center" vertical="center"/>
    </xf>
    <xf numFmtId="43" fontId="0" fillId="0" borderId="8" xfId="0" applyNumberFormat="1" applyFont="1" applyBorder="1"/>
    <xf numFmtId="0" fontId="0" fillId="0" borderId="27" xfId="0" applyFont="1" applyFill="1" applyBorder="1"/>
    <xf numFmtId="0" fontId="0" fillId="5" borderId="8" xfId="0" applyFont="1" applyFill="1" applyBorder="1" applyAlignment="1">
      <alignment wrapText="1"/>
    </xf>
    <xf numFmtId="165" fontId="0" fillId="0" borderId="0" xfId="0" applyNumberFormat="1" applyFont="1"/>
    <xf numFmtId="0" fontId="0" fillId="0" borderId="0" xfId="0" applyFont="1" applyFill="1" applyAlignment="1">
      <alignment vertical="top" wrapText="1"/>
    </xf>
    <xf numFmtId="165" fontId="28" fillId="0" borderId="0" xfId="5" applyNumberFormat="1" applyFont="1" applyBorder="1"/>
    <xf numFmtId="37" fontId="28" fillId="0" borderId="0" xfId="3" applyNumberFormat="1" applyFont="1" applyBorder="1"/>
    <xf numFmtId="37" fontId="29" fillId="2" borderId="0" xfId="3" applyNumberFormat="1" applyFont="1" applyFill="1" applyBorder="1" applyAlignment="1">
      <alignment horizontal="right" vertical="top"/>
    </xf>
    <xf numFmtId="0" fontId="0" fillId="5" borderId="0" xfId="0" applyFont="1" applyFill="1" applyBorder="1" applyAlignment="1"/>
    <xf numFmtId="37" fontId="29" fillId="2" borderId="0" xfId="3" applyNumberFormat="1" applyFont="1" applyFill="1" applyBorder="1" applyAlignment="1">
      <alignment vertical="top"/>
    </xf>
    <xf numFmtId="0" fontId="0" fillId="0" borderId="0" xfId="0" applyFont="1" applyBorder="1" applyAlignment="1">
      <alignment wrapText="1"/>
    </xf>
    <xf numFmtId="0" fontId="0" fillId="0" borderId="11" xfId="0" applyFont="1" applyBorder="1"/>
    <xf numFmtId="0" fontId="0" fillId="0" borderId="28" xfId="0" applyFont="1" applyBorder="1"/>
    <xf numFmtId="0" fontId="0" fillId="0" borderId="31" xfId="0" applyFont="1" applyBorder="1"/>
    <xf numFmtId="9" fontId="0" fillId="0" borderId="9" xfId="2" applyFont="1" applyFill="1" applyBorder="1"/>
    <xf numFmtId="165" fontId="31" fillId="0" borderId="8" xfId="5" applyNumberFormat="1" applyFont="1" applyBorder="1"/>
    <xf numFmtId="37" fontId="31" fillId="0" borderId="8" xfId="3" applyNumberFormat="1" applyFont="1" applyBorder="1"/>
    <xf numFmtId="37" fontId="32" fillId="2" borderId="8" xfId="3" applyNumberFormat="1" applyFont="1" applyFill="1" applyBorder="1" applyAlignment="1">
      <alignment vertical="top"/>
    </xf>
    <xf numFmtId="0" fontId="0" fillId="0" borderId="32" xfId="0" applyFont="1" applyBorder="1"/>
    <xf numFmtId="0" fontId="0" fillId="0" borderId="29" xfId="0" applyFont="1" applyBorder="1"/>
    <xf numFmtId="165" fontId="28" fillId="0" borderId="8" xfId="5" applyNumberFormat="1" applyFont="1" applyBorder="1"/>
    <xf numFmtId="37" fontId="28" fillId="0" borderId="8" xfId="3" applyNumberFormat="1" applyFont="1" applyBorder="1"/>
    <xf numFmtId="37" fontId="29" fillId="2" borderId="8" xfId="3" applyNumberFormat="1" applyFont="1" applyFill="1" applyBorder="1" applyAlignment="1">
      <alignment horizontal="right" vertical="top"/>
    </xf>
    <xf numFmtId="37" fontId="29" fillId="2" borderId="8" xfId="3" applyNumberFormat="1" applyFont="1" applyFill="1" applyBorder="1" applyAlignment="1">
      <alignment vertical="top"/>
    </xf>
    <xf numFmtId="165" fontId="28" fillId="0" borderId="8" xfId="5" applyNumberFormat="1" applyFont="1" applyFill="1" applyBorder="1"/>
    <xf numFmtId="37" fontId="28" fillId="0" borderId="8" xfId="3" applyNumberFormat="1" applyFont="1" applyFill="1" applyBorder="1"/>
    <xf numFmtId="37" fontId="29" fillId="0" borderId="8" xfId="3" applyNumberFormat="1" applyFont="1" applyFill="1" applyBorder="1" applyAlignment="1">
      <alignment horizontal="right" vertical="top"/>
    </xf>
    <xf numFmtId="37" fontId="29" fillId="0" borderId="8" xfId="3" applyNumberFormat="1" applyFont="1" applyFill="1" applyBorder="1" applyAlignment="1">
      <alignment vertical="top"/>
    </xf>
    <xf numFmtId="0" fontId="0" fillId="0" borderId="10" xfId="0" applyFont="1" applyBorder="1"/>
    <xf numFmtId="0" fontId="0" fillId="0" borderId="12" xfId="0" applyFont="1" applyBorder="1"/>
    <xf numFmtId="0" fontId="0" fillId="0" borderId="33" xfId="0" applyFont="1" applyBorder="1"/>
    <xf numFmtId="0" fontId="32" fillId="4" borderId="9" xfId="3" applyFont="1" applyFill="1" applyBorder="1" applyAlignment="1">
      <alignment horizontal="right" wrapText="1"/>
    </xf>
    <xf numFmtId="0" fontId="32" fillId="4" borderId="8" xfId="3" applyFont="1" applyFill="1" applyBorder="1" applyAlignment="1">
      <alignment horizontal="right" wrapText="1"/>
    </xf>
    <xf numFmtId="37" fontId="32" fillId="4" borderId="8" xfId="3" applyNumberFormat="1" applyFont="1" applyFill="1" applyBorder="1" applyAlignment="1">
      <alignment horizontal="right" wrapText="1"/>
    </xf>
    <xf numFmtId="0" fontId="32" fillId="4" borderId="8" xfId="3" applyFont="1" applyFill="1" applyBorder="1" applyAlignment="1">
      <alignment horizontal="left" wrapText="1"/>
    </xf>
    <xf numFmtId="0" fontId="31" fillId="4" borderId="8" xfId="3" applyFont="1" applyFill="1" applyBorder="1" applyAlignment="1">
      <alignment horizontal="centerContinuous"/>
    </xf>
    <xf numFmtId="37" fontId="31" fillId="4" borderId="8" xfId="3" applyNumberFormat="1" applyFont="1" applyFill="1" applyBorder="1" applyAlignment="1">
      <alignment horizontal="center"/>
    </xf>
    <xf numFmtId="37" fontId="28" fillId="4" borderId="8" xfId="3" applyNumberFormat="1" applyFont="1" applyFill="1" applyBorder="1" applyAlignment="1">
      <alignment horizontal="centerContinuous"/>
    </xf>
    <xf numFmtId="0" fontId="32" fillId="4" borderId="8" xfId="3" applyFont="1" applyFill="1" applyBorder="1" applyAlignment="1">
      <alignment horizontal="center"/>
    </xf>
    <xf numFmtId="0" fontId="0" fillId="5" borderId="0" xfId="0" applyFont="1" applyFill="1"/>
    <xf numFmtId="0" fontId="20" fillId="0" borderId="0" xfId="24" applyAlignment="1">
      <alignment vertical="top"/>
    </xf>
    <xf numFmtId="0" fontId="0" fillId="0" borderId="8" xfId="0" applyBorder="1" applyAlignment="1">
      <alignment wrapText="1"/>
    </xf>
    <xf numFmtId="0" fontId="19" fillId="0" borderId="26" xfId="0" applyFont="1" applyFill="1" applyBorder="1"/>
    <xf numFmtId="0" fontId="0" fillId="4" borderId="0" xfId="0" applyFill="1"/>
    <xf numFmtId="1" fontId="0" fillId="0" borderId="0" xfId="0" applyNumberFormat="1"/>
    <xf numFmtId="173" fontId="0" fillId="0" borderId="0" xfId="0" applyNumberFormat="1"/>
    <xf numFmtId="1" fontId="0" fillId="0" borderId="8" xfId="0" applyNumberFormat="1" applyBorder="1"/>
    <xf numFmtId="0" fontId="0" fillId="0" borderId="8" xfId="0" applyBorder="1" applyAlignment="1">
      <alignment vertical="top" wrapText="1"/>
    </xf>
    <xf numFmtId="0" fontId="0" fillId="0" borderId="9" xfId="0" applyBorder="1"/>
    <xf numFmtId="37" fontId="0" fillId="0" borderId="8" xfId="0" applyNumberFormat="1" applyBorder="1"/>
    <xf numFmtId="0" fontId="33" fillId="0" borderId="0" xfId="25"/>
    <xf numFmtId="0" fontId="3" fillId="4" borderId="8" xfId="25" applyFont="1" applyFill="1" applyBorder="1" applyAlignment="1">
      <alignment horizontal="center" vertical="center"/>
    </xf>
    <xf numFmtId="0" fontId="33" fillId="0" borderId="8" xfId="25" applyBorder="1"/>
    <xf numFmtId="37" fontId="33" fillId="0" borderId="8" xfId="25" applyNumberFormat="1" applyBorder="1"/>
    <xf numFmtId="169" fontId="0" fillId="0" borderId="8" xfId="26" applyNumberFormat="1" applyFont="1" applyBorder="1"/>
    <xf numFmtId="1" fontId="33" fillId="0" borderId="8" xfId="25" applyNumberFormat="1" applyBorder="1"/>
    <xf numFmtId="0" fontId="33" fillId="0" borderId="37" xfId="25" applyBorder="1"/>
    <xf numFmtId="0" fontId="8" fillId="7" borderId="36" xfId="3" applyFont="1" applyFill="1" applyBorder="1" applyAlignment="1">
      <alignment horizontal="centerContinuous"/>
    </xf>
    <xf numFmtId="37" fontId="5" fillId="7" borderId="35" xfId="3" applyNumberFormat="1" applyFill="1" applyBorder="1" applyAlignment="1">
      <alignment horizontal="centerContinuous"/>
    </xf>
    <xf numFmtId="37" fontId="5" fillId="7" borderId="34" xfId="3" applyNumberFormat="1" applyFill="1" applyBorder="1" applyAlignment="1">
      <alignment horizontal="centerContinuous"/>
    </xf>
    <xf numFmtId="37" fontId="3" fillId="8" borderId="38" xfId="25" applyNumberFormat="1" applyFont="1" applyFill="1" applyBorder="1" applyAlignment="1">
      <alignment horizontal="centerContinuous"/>
    </xf>
    <xf numFmtId="0" fontId="3" fillId="8" borderId="15" xfId="25" applyFont="1" applyFill="1" applyBorder="1" applyAlignment="1">
      <alignment horizontal="centerContinuous"/>
    </xf>
    <xf numFmtId="0" fontId="3" fillId="8" borderId="4" xfId="25" applyFont="1" applyFill="1" applyBorder="1" applyAlignment="1">
      <alignment horizontal="centerContinuous"/>
    </xf>
    <xf numFmtId="0" fontId="8" fillId="9" borderId="39" xfId="25" applyFont="1" applyFill="1" applyBorder="1" applyAlignment="1">
      <alignment horizontal="right" wrapText="1"/>
    </xf>
    <xf numFmtId="37" fontId="8" fillId="10" borderId="40" xfId="3" applyNumberFormat="1" applyFont="1" applyFill="1" applyBorder="1" applyAlignment="1">
      <alignment horizontal="right" wrapText="1"/>
    </xf>
    <xf numFmtId="37" fontId="8" fillId="10" borderId="41" xfId="3" applyNumberFormat="1" applyFont="1" applyFill="1" applyBorder="1" applyAlignment="1">
      <alignment horizontal="right" wrapText="1"/>
    </xf>
    <xf numFmtId="37" fontId="8" fillId="11" borderId="42" xfId="3" applyNumberFormat="1" applyFont="1" applyFill="1" applyBorder="1" applyAlignment="1">
      <alignment horizontal="right" wrapText="1"/>
    </xf>
    <xf numFmtId="37" fontId="8" fillId="11" borderId="3" xfId="3" applyNumberFormat="1" applyFont="1" applyFill="1" applyBorder="1" applyAlignment="1">
      <alignment horizontal="right" wrapText="1"/>
    </xf>
    <xf numFmtId="0" fontId="8" fillId="12" borderId="42" xfId="3" applyFont="1" applyFill="1" applyBorder="1" applyAlignment="1">
      <alignment horizontal="right" wrapText="1"/>
    </xf>
    <xf numFmtId="0" fontId="8" fillId="12" borderId="43" xfId="3" applyFont="1" applyFill="1" applyBorder="1" applyAlignment="1">
      <alignment horizontal="right" wrapText="1"/>
    </xf>
    <xf numFmtId="0" fontId="8" fillId="12" borderId="44" xfId="3" applyFont="1" applyFill="1" applyBorder="1" applyAlignment="1">
      <alignment horizontal="right" wrapText="1"/>
    </xf>
    <xf numFmtId="0" fontId="8" fillId="12" borderId="0" xfId="3" applyFont="1" applyFill="1" applyBorder="1" applyAlignment="1">
      <alignment horizontal="right" wrapText="1"/>
    </xf>
    <xf numFmtId="174" fontId="6" fillId="2" borderId="39" xfId="25" applyNumberFormat="1" applyFont="1" applyFill="1" applyBorder="1" applyAlignment="1">
      <alignment vertical="top"/>
    </xf>
    <xf numFmtId="37" fontId="6" fillId="0" borderId="45" xfId="25" applyNumberFormat="1" applyFont="1" applyFill="1" applyBorder="1" applyAlignment="1">
      <alignment horizontal="right" vertical="top" wrapText="1"/>
    </xf>
    <xf numFmtId="37" fontId="6" fillId="0" borderId="46" xfId="25" applyNumberFormat="1" applyFont="1" applyFill="1" applyBorder="1" applyAlignment="1">
      <alignment horizontal="right" vertical="top" wrapText="1"/>
    </xf>
    <xf numFmtId="37" fontId="33" fillId="0" borderId="5" xfId="25" applyNumberFormat="1" applyFill="1" applyBorder="1"/>
    <xf numFmtId="37" fontId="33" fillId="0" borderId="8" xfId="25" applyNumberFormat="1" applyFill="1" applyBorder="1"/>
    <xf numFmtId="165" fontId="0" fillId="0" borderId="6" xfId="27" applyNumberFormat="1" applyFont="1" applyFill="1" applyBorder="1"/>
    <xf numFmtId="37" fontId="33" fillId="0" borderId="0" xfId="25" applyNumberFormat="1"/>
    <xf numFmtId="0" fontId="5" fillId="0" borderId="47" xfId="25" applyFont="1" applyBorder="1"/>
    <xf numFmtId="37" fontId="33" fillId="0" borderId="47" xfId="25" applyNumberFormat="1" applyBorder="1"/>
    <xf numFmtId="37" fontId="33" fillId="0" borderId="0" xfId="25" applyNumberFormat="1" applyAlignment="1">
      <alignment wrapText="1"/>
    </xf>
    <xf numFmtId="0" fontId="33" fillId="0" borderId="0" xfId="25" applyBorder="1"/>
    <xf numFmtId="37" fontId="33" fillId="0" borderId="0" xfId="25" applyNumberFormat="1" applyBorder="1" applyAlignment="1">
      <alignment wrapText="1"/>
    </xf>
    <xf numFmtId="37" fontId="5" fillId="0" borderId="0" xfId="25" applyNumberFormat="1" applyFont="1" applyAlignment="1">
      <alignment wrapText="1"/>
    </xf>
    <xf numFmtId="0" fontId="6" fillId="2" borderId="39" xfId="25" applyFont="1" applyFill="1" applyBorder="1" applyAlignment="1">
      <alignment vertical="top"/>
    </xf>
    <xf numFmtId="37" fontId="6" fillId="0" borderId="45" xfId="25" applyNumberFormat="1" applyFont="1" applyFill="1" applyBorder="1" applyAlignment="1">
      <alignment horizontal="right" vertical="top"/>
    </xf>
    <xf numFmtId="37" fontId="6" fillId="0" borderId="46" xfId="25" applyNumberFormat="1" applyFont="1" applyFill="1" applyBorder="1" applyAlignment="1">
      <alignment horizontal="right" vertical="top"/>
    </xf>
    <xf numFmtId="37" fontId="5" fillId="0" borderId="0" xfId="25" applyNumberFormat="1" applyFont="1"/>
    <xf numFmtId="0" fontId="33" fillId="0" borderId="48" xfId="25" applyBorder="1"/>
    <xf numFmtId="0" fontId="8" fillId="9" borderId="49" xfId="25" applyFont="1" applyFill="1" applyBorder="1" applyAlignment="1">
      <alignment horizontal="right" wrapText="1"/>
    </xf>
    <xf numFmtId="37" fontId="6" fillId="2" borderId="49" xfId="25" applyNumberFormat="1" applyFont="1" applyFill="1" applyBorder="1" applyAlignment="1">
      <alignment vertical="top"/>
    </xf>
    <xf numFmtId="37" fontId="6" fillId="0" borderId="50" xfId="25" applyNumberFormat="1" applyFont="1" applyFill="1" applyBorder="1" applyAlignment="1">
      <alignment horizontal="right" vertical="top"/>
    </xf>
    <xf numFmtId="0" fontId="5" fillId="0" borderId="0" xfId="25" applyFont="1"/>
    <xf numFmtId="0" fontId="5" fillId="0" borderId="48" xfId="3" applyBorder="1"/>
    <xf numFmtId="37" fontId="3" fillId="8" borderId="36" xfId="3" applyNumberFormat="1" applyFont="1" applyFill="1" applyBorder="1" applyAlignment="1">
      <alignment horizontal="centerContinuous"/>
    </xf>
    <xf numFmtId="0" fontId="3" fillId="8" borderId="35" xfId="3" applyFont="1" applyFill="1" applyBorder="1" applyAlignment="1">
      <alignment horizontal="centerContinuous"/>
    </xf>
    <xf numFmtId="0" fontId="3" fillId="8" borderId="34" xfId="3" applyFont="1" applyFill="1" applyBorder="1" applyAlignment="1">
      <alignment horizontal="centerContinuous"/>
    </xf>
    <xf numFmtId="0" fontId="8" fillId="9" borderId="49" xfId="3" applyFont="1" applyFill="1" applyBorder="1" applyAlignment="1">
      <alignment horizontal="left" wrapText="1"/>
    </xf>
    <xf numFmtId="37" fontId="8" fillId="11" borderId="36" xfId="3" applyNumberFormat="1" applyFont="1" applyFill="1" applyBorder="1" applyAlignment="1">
      <alignment horizontal="right" wrapText="1"/>
    </xf>
    <xf numFmtId="37" fontId="8" fillId="11" borderId="51" xfId="3" applyNumberFormat="1" applyFont="1" applyFill="1" applyBorder="1" applyAlignment="1">
      <alignment horizontal="right" wrapText="1"/>
    </xf>
    <xf numFmtId="37" fontId="6" fillId="2" borderId="49" xfId="3" applyNumberFormat="1" applyFont="1" applyFill="1" applyBorder="1" applyAlignment="1">
      <alignment vertical="top"/>
    </xf>
    <xf numFmtId="37" fontId="6" fillId="2" borderId="52" xfId="3" applyNumberFormat="1" applyFont="1" applyFill="1" applyBorder="1" applyAlignment="1">
      <alignment horizontal="right" vertical="top"/>
    </xf>
    <xf numFmtId="37" fontId="6" fillId="2" borderId="46" xfId="3" applyNumberFormat="1" applyFont="1" applyFill="1" applyBorder="1" applyAlignment="1">
      <alignment horizontal="right" vertical="top"/>
    </xf>
    <xf numFmtId="37" fontId="5" fillId="0" borderId="52" xfId="3" applyNumberFormat="1" applyBorder="1"/>
    <xf numFmtId="37" fontId="5" fillId="0" borderId="45" xfId="3" applyNumberFormat="1" applyBorder="1"/>
    <xf numFmtId="165" fontId="5" fillId="0" borderId="46" xfId="5" applyNumberFormat="1" applyFont="1" applyBorder="1"/>
    <xf numFmtId="37" fontId="5" fillId="0" borderId="5" xfId="3" applyNumberFormat="1" applyBorder="1"/>
    <xf numFmtId="37" fontId="5" fillId="0" borderId="6" xfId="3" applyNumberFormat="1" applyBorder="1"/>
    <xf numFmtId="37" fontId="6" fillId="0" borderId="49" xfId="3" applyNumberFormat="1" applyFont="1" applyFill="1" applyBorder="1" applyAlignment="1">
      <alignment vertical="top"/>
    </xf>
    <xf numFmtId="37" fontId="6" fillId="0" borderId="52" xfId="3" applyNumberFormat="1" applyFont="1" applyFill="1" applyBorder="1" applyAlignment="1">
      <alignment horizontal="right" vertical="top"/>
    </xf>
    <xf numFmtId="37" fontId="6" fillId="0" borderId="46" xfId="3" applyNumberFormat="1" applyFont="1" applyFill="1" applyBorder="1" applyAlignment="1">
      <alignment horizontal="right" vertical="top"/>
    </xf>
    <xf numFmtId="37" fontId="5" fillId="0" borderId="52" xfId="3" applyNumberFormat="1" applyFill="1" applyBorder="1"/>
    <xf numFmtId="37" fontId="5" fillId="0" borderId="45" xfId="3" applyNumberFormat="1" applyFill="1" applyBorder="1"/>
    <xf numFmtId="165" fontId="5" fillId="0" borderId="46" xfId="5" applyNumberFormat="1" applyFont="1" applyFill="1" applyBorder="1"/>
    <xf numFmtId="37" fontId="5" fillId="0" borderId="5" xfId="3" applyNumberFormat="1" applyFill="1" applyBorder="1"/>
    <xf numFmtId="37" fontId="5" fillId="0" borderId="6" xfId="3" applyNumberFormat="1" applyFill="1" applyBorder="1"/>
    <xf numFmtId="37" fontId="6" fillId="2" borderId="0" xfId="3" applyNumberFormat="1" applyFont="1" applyFill="1" applyBorder="1" applyAlignment="1">
      <alignment vertical="top"/>
    </xf>
    <xf numFmtId="37" fontId="0" fillId="0" borderId="0" xfId="0" applyNumberFormat="1"/>
    <xf numFmtId="0" fontId="0" fillId="0" borderId="8" xfId="0" applyFill="1" applyBorder="1" applyAlignment="1">
      <alignment vertical="top" wrapText="1"/>
    </xf>
    <xf numFmtId="0" fontId="0" fillId="0" borderId="0" xfId="0" applyBorder="1" applyAlignment="1">
      <alignment vertical="top" wrapText="1"/>
    </xf>
    <xf numFmtId="0" fontId="0" fillId="0" borderId="0" xfId="0" applyFill="1" applyBorder="1" applyAlignment="1">
      <alignment vertical="top" wrapText="1"/>
    </xf>
    <xf numFmtId="169" fontId="0" fillId="0" borderId="0" xfId="0" applyNumberFormat="1" applyBorder="1"/>
    <xf numFmtId="43" fontId="0" fillId="0" borderId="0" xfId="0" applyNumberFormat="1"/>
    <xf numFmtId="0" fontId="35" fillId="0" borderId="0" xfId="0" applyFont="1"/>
    <xf numFmtId="0" fontId="36" fillId="0" borderId="0" xfId="0" applyFont="1"/>
    <xf numFmtId="0" fontId="37" fillId="0" borderId="0" xfId="0" applyFont="1"/>
    <xf numFmtId="0" fontId="0" fillId="0" borderId="8" xfId="0" applyFont="1" applyBorder="1" applyAlignment="1">
      <alignment horizontal="center" vertical="center"/>
    </xf>
    <xf numFmtId="0" fontId="0" fillId="0" borderId="8" xfId="0" applyBorder="1" applyAlignment="1">
      <alignment horizontal="center"/>
    </xf>
    <xf numFmtId="0" fontId="0" fillId="0" borderId="0" xfId="0" applyFont="1" applyAlignment="1">
      <alignment horizontal="left" vertical="center" wrapText="1"/>
    </xf>
    <xf numFmtId="175" fontId="0" fillId="0" borderId="0" xfId="30" applyNumberFormat="1" applyFont="1"/>
    <xf numFmtId="0" fontId="20" fillId="0" borderId="0" xfId="24" applyAlignment="1">
      <alignment vertical="center"/>
    </xf>
    <xf numFmtId="0" fontId="5" fillId="0" borderId="8" xfId="25" applyFont="1" applyBorder="1"/>
    <xf numFmtId="0" fontId="0" fillId="0" borderId="8" xfId="0" applyFont="1" applyBorder="1" applyAlignment="1">
      <alignment horizontal="center" vertical="center" wrapText="1"/>
    </xf>
    <xf numFmtId="1" fontId="0" fillId="0" borderId="8" xfId="0" applyNumberFormat="1" applyBorder="1" applyAlignment="1">
      <alignment horizontal="center"/>
    </xf>
    <xf numFmtId="175" fontId="0" fillId="0" borderId="8" xfId="30" applyNumberFormat="1" applyFont="1" applyBorder="1" applyAlignment="1">
      <alignment horizontal="center"/>
    </xf>
    <xf numFmtId="175" fontId="0" fillId="0" borderId="8" xfId="0" applyNumberFormat="1" applyBorder="1" applyAlignment="1">
      <alignment horizontal="center"/>
    </xf>
    <xf numFmtId="0" fontId="39" fillId="0" borderId="54" xfId="0" applyFont="1" applyBorder="1" applyAlignment="1">
      <alignment horizontal="justify" vertical="center" wrapText="1"/>
    </xf>
    <xf numFmtId="9" fontId="39" fillId="0" borderId="55" xfId="0" applyNumberFormat="1" applyFont="1" applyBorder="1" applyAlignment="1">
      <alignment horizontal="justify" vertical="center" wrapText="1"/>
    </xf>
    <xf numFmtId="8" fontId="39" fillId="0" borderId="55" xfId="0" applyNumberFormat="1" applyFont="1" applyBorder="1" applyAlignment="1">
      <alignment horizontal="justify" vertical="center" wrapText="1"/>
    </xf>
    <xf numFmtId="9" fontId="40" fillId="0" borderId="55" xfId="0" applyNumberFormat="1" applyFont="1" applyBorder="1" applyAlignment="1">
      <alignment horizontal="justify" vertical="center" wrapText="1"/>
    </xf>
    <xf numFmtId="8" fontId="40" fillId="13" borderId="55" xfId="0" applyNumberFormat="1" applyFont="1" applyFill="1" applyBorder="1" applyAlignment="1">
      <alignment horizontal="justify" vertical="center" wrapText="1"/>
    </xf>
    <xf numFmtId="0" fontId="39" fillId="0" borderId="53" xfId="0" applyFont="1" applyBorder="1" applyAlignment="1">
      <alignment horizontal="justify" vertical="center" wrapText="1"/>
    </xf>
    <xf numFmtId="0" fontId="40" fillId="0" borderId="54" xfId="0" applyFont="1" applyBorder="1" applyAlignment="1">
      <alignment horizontal="justify" vertical="center" wrapText="1"/>
    </xf>
    <xf numFmtId="0" fontId="20" fillId="0" borderId="55" xfId="24" applyBorder="1" applyAlignment="1">
      <alignment horizontal="justify" vertical="center" wrapText="1"/>
    </xf>
    <xf numFmtId="8" fontId="40" fillId="0" borderId="55" xfId="0" applyNumberFormat="1" applyFont="1" applyBorder="1" applyAlignment="1">
      <alignment horizontal="justify" vertical="center" wrapText="1"/>
    </xf>
    <xf numFmtId="0" fontId="39" fillId="13" borderId="55" xfId="0" applyNumberFormat="1" applyFont="1" applyFill="1" applyBorder="1" applyAlignment="1">
      <alignment horizontal="justify" vertical="center" wrapText="1"/>
    </xf>
    <xf numFmtId="9" fontId="39" fillId="13" borderId="55" xfId="2" applyFont="1" applyFill="1" applyBorder="1" applyAlignment="1">
      <alignment horizontal="justify" vertical="center" wrapText="1"/>
    </xf>
    <xf numFmtId="43" fontId="0" fillId="0" borderId="8" xfId="1" applyNumberFormat="1" applyFont="1" applyBorder="1"/>
    <xf numFmtId="0" fontId="28" fillId="0" borderId="30" xfId="14" applyFont="1" applyFill="1" applyBorder="1"/>
    <xf numFmtId="173" fontId="28" fillId="0" borderId="30" xfId="14" applyNumberFormat="1" applyFont="1" applyFill="1" applyBorder="1"/>
    <xf numFmtId="2" fontId="28" fillId="0" borderId="8" xfId="14" applyNumberFormat="1" applyFont="1" applyFill="1" applyBorder="1"/>
    <xf numFmtId="0" fontId="0" fillId="0" borderId="0" xfId="0" applyAlignment="1">
      <alignment wrapText="1"/>
    </xf>
    <xf numFmtId="0" fontId="0" fillId="0" borderId="8" xfId="0" applyFill="1" applyBorder="1"/>
    <xf numFmtId="3" fontId="0" fillId="0" borderId="8" xfId="0" applyNumberFormat="1" applyBorder="1" applyAlignment="1">
      <alignment wrapText="1"/>
    </xf>
    <xf numFmtId="176" fontId="0" fillId="13" borderId="8" xfId="0" applyNumberFormat="1" applyFill="1" applyBorder="1"/>
    <xf numFmtId="10" fontId="0" fillId="0" borderId="8" xfId="0" applyNumberFormat="1" applyBorder="1"/>
    <xf numFmtId="0" fontId="0" fillId="14" borderId="8" xfId="0" applyFill="1" applyBorder="1"/>
    <xf numFmtId="177" fontId="0" fillId="0" borderId="8" xfId="0" applyNumberFormat="1" applyBorder="1"/>
    <xf numFmtId="0" fontId="0" fillId="13" borderId="8" xfId="0" applyFill="1" applyBorder="1" applyAlignment="1">
      <alignment wrapText="1"/>
    </xf>
    <xf numFmtId="0" fontId="0" fillId="0" borderId="9"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31" fillId="4" borderId="9" xfId="14" applyFont="1" applyFill="1" applyBorder="1" applyAlignment="1">
      <alignment horizontal="left" wrapText="1"/>
    </xf>
    <xf numFmtId="0" fontId="31" fillId="4" borderId="13" xfId="14" applyFont="1" applyFill="1" applyBorder="1" applyAlignment="1">
      <alignment horizontal="left" wrapText="1"/>
    </xf>
    <xf numFmtId="0" fontId="31" fillId="4" borderId="5" xfId="14" applyFont="1" applyFill="1" applyBorder="1" applyAlignment="1">
      <alignment horizontal="left" wrapText="1"/>
    </xf>
    <xf numFmtId="0" fontId="0" fillId="0" borderId="8" xfId="0" applyFont="1" applyBorder="1" applyAlignment="1">
      <alignment horizontal="center" wrapText="1"/>
    </xf>
    <xf numFmtId="0" fontId="20" fillId="0" borderId="8" xfId="24" applyBorder="1" applyAlignment="1">
      <alignment horizontal="center" wrapText="1"/>
    </xf>
    <xf numFmtId="0" fontId="0" fillId="0" borderId="8" xfId="0" applyBorder="1" applyAlignment="1">
      <alignment horizontal="center" wrapText="1"/>
    </xf>
    <xf numFmtId="0" fontId="0" fillId="4" borderId="27"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0" fillId="4" borderId="25" xfId="0" applyFont="1" applyFill="1" applyBorder="1" applyAlignment="1">
      <alignment horizontal="center" vertical="center" wrapText="1"/>
    </xf>
    <xf numFmtId="169" fontId="28" fillId="4" borderId="8" xfId="1" applyNumberFormat="1" applyFont="1" applyFill="1" applyBorder="1" applyAlignment="1">
      <alignment horizontal="center" vertical="center" wrapText="1"/>
    </xf>
    <xf numFmtId="169" fontId="28" fillId="0" borderId="27" xfId="1" applyNumberFormat="1" applyFont="1" applyFill="1" applyBorder="1" applyAlignment="1">
      <alignment horizontal="center" vertical="center" wrapText="1"/>
    </xf>
    <xf numFmtId="169" fontId="28" fillId="0" borderId="26" xfId="1" applyNumberFormat="1" applyFont="1" applyFill="1" applyBorder="1" applyAlignment="1">
      <alignment horizontal="center" vertical="center" wrapText="1"/>
    </xf>
    <xf numFmtId="169" fontId="28" fillId="0" borderId="25" xfId="1" applyNumberFormat="1" applyFont="1" applyFill="1" applyBorder="1" applyAlignment="1">
      <alignment horizontal="center" vertical="center" wrapText="1"/>
    </xf>
    <xf numFmtId="0" fontId="0" fillId="4" borderId="8" xfId="0" applyFont="1" applyFill="1" applyBorder="1" applyAlignment="1">
      <alignment horizontal="center"/>
    </xf>
    <xf numFmtId="169" fontId="1" fillId="0" borderId="27" xfId="1" applyNumberFormat="1" applyFont="1" applyFill="1" applyBorder="1" applyAlignment="1">
      <alignment horizontal="center" vertical="center"/>
    </xf>
    <xf numFmtId="169" fontId="1" fillId="0" borderId="26" xfId="1" applyNumberFormat="1" applyFont="1" applyFill="1" applyBorder="1" applyAlignment="1">
      <alignment horizontal="center" vertical="center"/>
    </xf>
    <xf numFmtId="169" fontId="1" fillId="0" borderId="25" xfId="1" applyNumberFormat="1" applyFont="1" applyFill="1" applyBorder="1" applyAlignment="1">
      <alignment horizontal="center" vertical="center"/>
    </xf>
    <xf numFmtId="169" fontId="1" fillId="4" borderId="27" xfId="1" applyNumberFormat="1" applyFont="1" applyFill="1" applyBorder="1" applyAlignment="1">
      <alignment horizontal="center" vertical="center"/>
    </xf>
    <xf numFmtId="169" fontId="1" fillId="4" borderId="26" xfId="1" applyNumberFormat="1" applyFont="1" applyFill="1" applyBorder="1" applyAlignment="1">
      <alignment horizontal="center" vertical="center"/>
    </xf>
    <xf numFmtId="169" fontId="1" fillId="4" borderId="25" xfId="1" applyNumberFormat="1"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27" xfId="0" applyBorder="1" applyAlignment="1">
      <alignment horizontal="center" vertical="center"/>
    </xf>
    <xf numFmtId="0" fontId="0" fillId="0" borderId="26" xfId="0" applyBorder="1" applyAlignment="1">
      <alignment horizontal="center" vertical="center"/>
    </xf>
    <xf numFmtId="0" fontId="0" fillId="4" borderId="27" xfId="0" applyFill="1" applyBorder="1" applyAlignment="1">
      <alignment horizontal="center" vertical="center"/>
    </xf>
    <xf numFmtId="0" fontId="0" fillId="4" borderId="26" xfId="0" applyFill="1" applyBorder="1" applyAlignment="1">
      <alignment horizontal="center" vertical="center"/>
    </xf>
    <xf numFmtId="0" fontId="0" fillId="0" borderId="25" xfId="0" applyBorder="1" applyAlignment="1">
      <alignment horizontal="center" vertical="center"/>
    </xf>
    <xf numFmtId="0" fontId="0" fillId="0" borderId="27"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5" xfId="0" applyFont="1" applyBorder="1" applyAlignment="1">
      <alignment horizontal="center" vertical="center" wrapText="1"/>
    </xf>
    <xf numFmtId="0" fontId="0" fillId="4" borderId="8" xfId="0" applyFont="1" applyFill="1" applyBorder="1" applyAlignment="1">
      <alignment horizontal="center" vertical="center" wrapText="1"/>
    </xf>
    <xf numFmtId="0" fontId="0" fillId="0" borderId="36" xfId="0" applyFont="1" applyBorder="1" applyAlignment="1">
      <alignment horizontal="left" vertical="center" wrapText="1"/>
    </xf>
    <xf numFmtId="0" fontId="0" fillId="0" borderId="35" xfId="0" applyFont="1" applyBorder="1" applyAlignment="1">
      <alignment horizontal="left" vertical="center" wrapText="1"/>
    </xf>
    <xf numFmtId="0" fontId="0" fillId="0" borderId="34" xfId="0" applyFont="1" applyBorder="1" applyAlignment="1">
      <alignment horizontal="left" vertical="center" wrapText="1"/>
    </xf>
    <xf numFmtId="0" fontId="0" fillId="0" borderId="27" xfId="0" applyFont="1" applyBorder="1" applyAlignment="1">
      <alignment horizontal="center" vertical="center"/>
    </xf>
    <xf numFmtId="0" fontId="0" fillId="0" borderId="26" xfId="0" applyFont="1" applyBorder="1" applyAlignment="1">
      <alignment horizontal="center" vertical="center"/>
    </xf>
    <xf numFmtId="0" fontId="0" fillId="0" borderId="8" xfId="0" applyFont="1" applyBorder="1" applyAlignment="1">
      <alignment horizontal="center"/>
    </xf>
    <xf numFmtId="0" fontId="28" fillId="0" borderId="28" xfId="0" applyFont="1" applyFill="1" applyBorder="1" applyAlignment="1">
      <alignment horizontal="left" vertical="top" wrapText="1"/>
    </xf>
    <xf numFmtId="0" fontId="0" fillId="0" borderId="27" xfId="0" applyFont="1" applyBorder="1" applyAlignment="1">
      <alignment horizontal="left" vertical="center" wrapText="1"/>
    </xf>
    <xf numFmtId="0" fontId="0" fillId="0" borderId="26" xfId="0" applyFont="1" applyBorder="1" applyAlignment="1">
      <alignment horizontal="left" vertical="center" wrapText="1"/>
    </xf>
    <xf numFmtId="0" fontId="0" fillId="0" borderId="25" xfId="0" applyFont="1" applyBorder="1" applyAlignment="1">
      <alignment horizontal="left" vertical="center" wrapText="1"/>
    </xf>
    <xf numFmtId="169" fontId="0" fillId="4" borderId="27" xfId="1" applyNumberFormat="1" applyFont="1" applyFill="1" applyBorder="1" applyAlignment="1">
      <alignment horizontal="center" vertical="center"/>
    </xf>
    <xf numFmtId="169" fontId="0" fillId="4" borderId="26" xfId="1" applyNumberFormat="1" applyFont="1" applyFill="1" applyBorder="1" applyAlignment="1">
      <alignment horizontal="center" vertical="center"/>
    </xf>
    <xf numFmtId="169" fontId="0" fillId="4" borderId="25" xfId="1" applyNumberFormat="1" applyFont="1" applyFill="1" applyBorder="1" applyAlignment="1">
      <alignment horizontal="center" vertical="center"/>
    </xf>
    <xf numFmtId="169" fontId="0" fillId="0" borderId="27" xfId="1" applyNumberFormat="1" applyFont="1" applyBorder="1" applyAlignment="1">
      <alignment horizontal="center" vertical="center"/>
    </xf>
    <xf numFmtId="169" fontId="0" fillId="0" borderId="26" xfId="1" applyNumberFormat="1" applyFont="1" applyBorder="1" applyAlignment="1">
      <alignment horizontal="center" vertical="center"/>
    </xf>
    <xf numFmtId="169" fontId="0" fillId="0" borderId="25" xfId="1" applyNumberFormat="1" applyFont="1" applyBorder="1" applyAlignment="1">
      <alignment horizontal="center" vertical="center"/>
    </xf>
    <xf numFmtId="0" fontId="0" fillId="5" borderId="8" xfId="0" applyFont="1" applyFill="1" applyBorder="1" applyAlignment="1">
      <alignment horizontal="center" wrapText="1"/>
    </xf>
    <xf numFmtId="37" fontId="29" fillId="2" borderId="8" xfId="3" applyNumberFormat="1" applyFont="1" applyFill="1" applyBorder="1" applyAlignment="1">
      <alignment horizontal="center" vertical="top"/>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0" fillId="0" borderId="27" xfId="0" applyFont="1" applyBorder="1" applyAlignment="1">
      <alignment horizontal="center" wrapText="1"/>
    </xf>
    <xf numFmtId="0" fontId="0" fillId="0" borderId="25" xfId="0" applyFont="1" applyBorder="1" applyAlignment="1">
      <alignment horizontal="center" wrapText="1"/>
    </xf>
    <xf numFmtId="0" fontId="31" fillId="4" borderId="8" xfId="14" applyFont="1" applyFill="1" applyBorder="1" applyAlignment="1">
      <alignment horizontal="center" wrapText="1"/>
    </xf>
    <xf numFmtId="0" fontId="0" fillId="4" borderId="9" xfId="0" applyFont="1" applyFill="1" applyBorder="1" applyAlignment="1">
      <alignment horizontal="center"/>
    </xf>
    <xf numFmtId="0" fontId="0" fillId="4" borderId="5" xfId="0" applyFont="1" applyFill="1" applyBorder="1" applyAlignment="1">
      <alignment horizontal="center"/>
    </xf>
    <xf numFmtId="0" fontId="0" fillId="6" borderId="0" xfId="0" applyFont="1" applyFill="1" applyAlignment="1">
      <alignment horizontal="center" wrapText="1"/>
    </xf>
    <xf numFmtId="0" fontId="0" fillId="6" borderId="28" xfId="0" applyFont="1" applyFill="1" applyBorder="1" applyAlignment="1">
      <alignment horizontal="center" wrapText="1"/>
    </xf>
    <xf numFmtId="0" fontId="32" fillId="4" borderId="9" xfId="3" applyFont="1" applyFill="1" applyBorder="1" applyAlignment="1">
      <alignment horizontal="center" wrapText="1"/>
    </xf>
    <xf numFmtId="0" fontId="32" fillId="4" borderId="13" xfId="3" applyFont="1" applyFill="1" applyBorder="1" applyAlignment="1">
      <alignment horizontal="center" wrapText="1"/>
    </xf>
    <xf numFmtId="0" fontId="32" fillId="4" borderId="5" xfId="3" applyFont="1" applyFill="1" applyBorder="1" applyAlignment="1">
      <alignment horizontal="center" wrapText="1"/>
    </xf>
    <xf numFmtId="0" fontId="0" fillId="0" borderId="8" xfId="0" applyFont="1" applyBorder="1" applyAlignment="1">
      <alignment horizontal="center" vertical="center"/>
    </xf>
    <xf numFmtId="0" fontId="31" fillId="4" borderId="9" xfId="14" applyFont="1" applyFill="1" applyBorder="1" applyAlignment="1">
      <alignment horizontal="center" wrapText="1"/>
    </xf>
    <xf numFmtId="0" fontId="31" fillId="4" borderId="5" xfId="14" applyFont="1" applyFill="1" applyBorder="1" applyAlignment="1">
      <alignment horizontal="center" wrapText="1"/>
    </xf>
    <xf numFmtId="0" fontId="0" fillId="0" borderId="9" xfId="0" applyFont="1" applyBorder="1" applyAlignment="1">
      <alignment horizontal="center" wrapText="1"/>
    </xf>
    <xf numFmtId="0" fontId="0" fillId="0" borderId="5" xfId="0" applyFont="1" applyBorder="1" applyAlignment="1">
      <alignment horizontal="center" wrapText="1"/>
    </xf>
    <xf numFmtId="0" fontId="0" fillId="0" borderId="3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1" xfId="0" applyFont="1" applyBorder="1" applyAlignment="1">
      <alignment horizontal="center" vertical="center" wrapText="1"/>
    </xf>
    <xf numFmtId="0" fontId="28" fillId="0" borderId="0" xfId="14" applyFont="1" applyFill="1" applyBorder="1" applyAlignment="1">
      <alignment horizontal="left" vertical="top" wrapText="1"/>
    </xf>
    <xf numFmtId="0" fontId="0" fillId="0" borderId="29" xfId="0" applyFont="1" applyBorder="1" applyAlignment="1">
      <alignment horizontal="left" vertical="top" wrapText="1"/>
    </xf>
    <xf numFmtId="0" fontId="0" fillId="0" borderId="0" xfId="0" applyFont="1" applyBorder="1" applyAlignment="1">
      <alignment horizontal="left" vertical="top" wrapText="1"/>
    </xf>
    <xf numFmtId="0" fontId="0" fillId="0" borderId="25" xfId="0" applyFont="1" applyBorder="1" applyAlignment="1">
      <alignment horizontal="center" vertical="center"/>
    </xf>
    <xf numFmtId="169" fontId="0" fillId="6" borderId="8" xfId="0" applyNumberFormat="1" applyFont="1" applyFill="1" applyBorder="1" applyAlignment="1">
      <alignment horizontal="center"/>
    </xf>
    <xf numFmtId="0" fontId="0" fillId="6" borderId="8" xfId="0" applyFont="1" applyFill="1" applyBorder="1" applyAlignment="1">
      <alignment horizontal="center"/>
    </xf>
    <xf numFmtId="169" fontId="0" fillId="6" borderId="8" xfId="1" applyNumberFormat="1" applyFont="1" applyFill="1" applyBorder="1" applyAlignment="1">
      <alignment horizontal="center"/>
    </xf>
    <xf numFmtId="0" fontId="0" fillId="0" borderId="0" xfId="0" applyAlignment="1">
      <alignment horizontal="left" vertical="top" wrapText="1"/>
    </xf>
    <xf numFmtId="0" fontId="13" fillId="0" borderId="15" xfId="0" applyFont="1" applyBorder="1" applyAlignment="1">
      <alignment horizontal="center" vertical="top" wrapText="1"/>
    </xf>
    <xf numFmtId="0" fontId="13" fillId="0" borderId="4" xfId="0" applyFont="1" applyBorder="1" applyAlignment="1">
      <alignment horizontal="center" vertical="top" wrapText="1"/>
    </xf>
    <xf numFmtId="0" fontId="13" fillId="0" borderId="6" xfId="0" applyFont="1" applyBorder="1" applyAlignment="1">
      <alignment horizontal="center" vertical="top" wrapText="1"/>
    </xf>
    <xf numFmtId="0" fontId="13" fillId="0" borderId="14" xfId="0" applyFont="1" applyBorder="1" applyAlignment="1">
      <alignment horizontal="center" vertical="top"/>
    </xf>
    <xf numFmtId="0" fontId="13" fillId="0" borderId="16" xfId="0" applyFont="1" applyBorder="1" applyAlignment="1">
      <alignment horizontal="center" vertical="top"/>
    </xf>
    <xf numFmtId="0" fontId="13" fillId="0" borderId="19" xfId="0" applyFont="1" applyBorder="1" applyAlignment="1">
      <alignment horizontal="center" vertical="top"/>
    </xf>
    <xf numFmtId="0" fontId="13" fillId="0" borderId="20" xfId="0" applyFont="1" applyBorder="1" applyAlignment="1">
      <alignment horizontal="center" vertical="top"/>
    </xf>
    <xf numFmtId="0" fontId="13" fillId="0" borderId="3" xfId="0" applyFont="1" applyBorder="1" applyAlignment="1">
      <alignment horizontal="center" vertical="top" wrapText="1"/>
    </xf>
    <xf numFmtId="0" fontId="13" fillId="0" borderId="21" xfId="0" applyFont="1" applyBorder="1" applyAlignment="1">
      <alignment horizontal="center" vertical="top" wrapText="1"/>
    </xf>
    <xf numFmtId="0" fontId="5" fillId="0" borderId="8" xfId="4" applyBorder="1" applyAlignment="1">
      <alignment horizontal="center"/>
    </xf>
    <xf numFmtId="0" fontId="16" fillId="0" borderId="8" xfId="23" applyFont="1" applyBorder="1" applyAlignment="1">
      <alignment horizontal="center" wrapText="1"/>
    </xf>
    <xf numFmtId="0" fontId="16" fillId="0" borderId="8" xfId="23" applyFont="1" applyBorder="1" applyAlignment="1">
      <alignment horizontal="center"/>
    </xf>
    <xf numFmtId="0" fontId="15" fillId="0" borderId="0" xfId="23" applyFont="1" applyAlignment="1">
      <alignment wrapText="1"/>
    </xf>
    <xf numFmtId="0" fontId="15" fillId="0" borderId="0" xfId="23" applyFont="1" applyAlignment="1"/>
    <xf numFmtId="0" fontId="3" fillId="0" borderId="0" xfId="23" applyFont="1" applyAlignment="1">
      <alignment vertical="center" wrapText="1"/>
    </xf>
    <xf numFmtId="0" fontId="3" fillId="0" borderId="0" xfId="23" applyFont="1" applyAlignment="1">
      <alignment vertical="center"/>
    </xf>
    <xf numFmtId="0" fontId="15" fillId="0" borderId="12" xfId="23" applyFont="1" applyBorder="1" applyAlignment="1">
      <alignment wrapText="1"/>
    </xf>
    <xf numFmtId="0" fontId="15" fillId="0" borderId="12" xfId="23" applyFont="1" applyBorder="1" applyAlignment="1"/>
    <xf numFmtId="0" fontId="11" fillId="0" borderId="0" xfId="23" applyFont="1" applyAlignment="1">
      <alignment vertical="center" wrapText="1"/>
    </xf>
    <xf numFmtId="0" fontId="11" fillId="0" borderId="0" xfId="23" applyFont="1" applyAlignment="1">
      <alignment vertical="center"/>
    </xf>
    <xf numFmtId="0" fontId="14" fillId="0" borderId="10" xfId="23" applyBorder="1" applyAlignment="1"/>
    <xf numFmtId="0" fontId="14" fillId="0" borderId="11" xfId="23" applyBorder="1" applyAlignment="1"/>
    <xf numFmtId="0" fontId="16" fillId="0" borderId="9" xfId="23" applyFont="1" applyBorder="1" applyAlignment="1">
      <alignment horizontal="center" wrapText="1"/>
    </xf>
    <xf numFmtId="0" fontId="16" fillId="0" borderId="13" xfId="23" applyFont="1" applyBorder="1" applyAlignment="1">
      <alignment horizontal="center" wrapText="1"/>
    </xf>
    <xf numFmtId="0" fontId="16" fillId="0" borderId="5" xfId="23" applyFont="1" applyBorder="1" applyAlignment="1">
      <alignment horizontal="center" wrapText="1"/>
    </xf>
    <xf numFmtId="0" fontId="17" fillId="0" borderId="12" xfId="23" applyFont="1" applyBorder="1" applyAlignment="1">
      <alignment wrapText="1"/>
    </xf>
    <xf numFmtId="0" fontId="20" fillId="0" borderId="36" xfId="24" applyBorder="1" applyAlignment="1">
      <alignment horizontal="justify" vertical="center" wrapText="1"/>
    </xf>
    <xf numFmtId="0" fontId="20" fillId="0" borderId="34" xfId="24" applyBorder="1" applyAlignment="1">
      <alignment horizontal="justify" vertical="center" wrapText="1"/>
    </xf>
    <xf numFmtId="8" fontId="39" fillId="13" borderId="56" xfId="0" applyNumberFormat="1" applyFont="1" applyFill="1" applyBorder="1" applyAlignment="1">
      <alignment horizontal="justify" vertical="center" wrapText="1"/>
    </xf>
    <xf numFmtId="8" fontId="39" fillId="13" borderId="54" xfId="0" applyNumberFormat="1" applyFont="1" applyFill="1" applyBorder="1" applyAlignment="1">
      <alignment horizontal="justify" vertical="center" wrapText="1"/>
    </xf>
    <xf numFmtId="0" fontId="33" fillId="0" borderId="8" xfId="25" applyBorder="1" applyAlignment="1">
      <alignment horizontal="center"/>
    </xf>
    <xf numFmtId="0" fontId="33" fillId="0" borderId="8" xfId="25" applyBorder="1" applyAlignment="1">
      <alignment horizontal="center" wrapText="1"/>
    </xf>
    <xf numFmtId="0" fontId="33" fillId="0" borderId="29" xfId="25" applyBorder="1" applyAlignment="1">
      <alignment horizontal="center"/>
    </xf>
    <xf numFmtId="0" fontId="33" fillId="0" borderId="0" xfId="25" applyAlignment="1">
      <alignment horizontal="center"/>
    </xf>
    <xf numFmtId="0" fontId="33" fillId="0" borderId="31" xfId="25" applyBorder="1" applyAlignment="1">
      <alignment horizontal="center"/>
    </xf>
    <xf numFmtId="0" fontId="33" fillId="0" borderId="28" xfId="25" applyBorder="1" applyAlignment="1">
      <alignment horizontal="center"/>
    </xf>
  </cellXfs>
  <cellStyles count="31">
    <cellStyle name="Comma" xfId="1" builtinId="3"/>
    <cellStyle name="Comma 2" xfId="6"/>
    <cellStyle name="Comma 2 2" xfId="7"/>
    <cellStyle name="Comma 3" xfId="26"/>
    <cellStyle name="Comma0" xfId="8"/>
    <cellStyle name="Currency" xfId="30" builtinId="4"/>
    <cellStyle name="Currency 2" xfId="9"/>
    <cellStyle name="Currency0" xfId="10"/>
    <cellStyle name="Date" xfId="11"/>
    <cellStyle name="Fixed" xfId="12"/>
    <cellStyle name="Heading 2 2" xfId="13"/>
    <cellStyle name="Hyperlink" xfId="24" builtinId="8"/>
    <cellStyle name="Hyperlink 2" xfId="28"/>
    <cellStyle name="Hyperlink 3" xfId="29"/>
    <cellStyle name="Normal" xfId="0" builtinId="0"/>
    <cellStyle name="Normal 2" xfId="4"/>
    <cellStyle name="Normal 2 2" xfId="14"/>
    <cellStyle name="Normal 3" xfId="15"/>
    <cellStyle name="Normal 4" xfId="16"/>
    <cellStyle name="Normal 5" xfId="17"/>
    <cellStyle name="Normal 6" xfId="22"/>
    <cellStyle name="Normal 7" xfId="23"/>
    <cellStyle name="Normal 8" xfId="25"/>
    <cellStyle name="Normal_2008 Usage and Savings" xfId="3"/>
    <cellStyle name="Percent" xfId="2" builtinId="5"/>
    <cellStyle name="Percent 2" xfId="18"/>
    <cellStyle name="Percent 2 2" xfId="5"/>
    <cellStyle name="Percent 2 3" xfId="19"/>
    <cellStyle name="Percent 3" xfId="20"/>
    <cellStyle name="Percent 4" xfId="27"/>
    <cellStyle name="Year"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s>
</file>

<file path=xl/drawings/drawing1.xml><?xml version="1.0" encoding="utf-8"?>
<xdr:wsDr xmlns:xdr="http://schemas.openxmlformats.org/drawingml/2006/spreadsheetDrawing" xmlns:a="http://schemas.openxmlformats.org/drawingml/2006/main">
  <xdr:oneCellAnchor>
    <xdr:from>
      <xdr:col>0</xdr:col>
      <xdr:colOff>257175</xdr:colOff>
      <xdr:row>2</xdr:row>
      <xdr:rowOff>40821</xdr:rowOff>
    </xdr:from>
    <xdr:ext cx="10070647" cy="5431359"/>
    <xdr:sp macro="" textlink="">
      <xdr:nvSpPr>
        <xdr:cNvPr id="2" name="TextBox 1"/>
        <xdr:cNvSpPr txBox="1"/>
      </xdr:nvSpPr>
      <xdr:spPr>
        <a:xfrm>
          <a:off x="257175" y="421821"/>
          <a:ext cx="10070647" cy="543135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US" sz="1100"/>
            <a:t>Electrical consumption by end use was calculated using market penetration data adjusted for towns that do not have access to natural gas service. Consumption was calculated by multiplying the number of household by the penetration rate and the unit energy consumption (UEC).</a:t>
          </a:r>
        </a:p>
        <a:p>
          <a:r>
            <a:rPr lang="en-US" sz="1100"/>
            <a:t>Due to assumptions made regarding the penetration rate of technologies in Chittenden County, and assuming that they are the same in Vermont as a whole, and estimating these rates in towns without natural gas leads to imprecision when reporting the sum of all end uses for each town. </a:t>
          </a:r>
        </a:p>
        <a:p>
          <a:r>
            <a:rPr lang="en-US" sz="1100"/>
            <a:t>Therefore, aggregated town level consumption data from the Efficiency Vermont Website should be used when considering the sum of all electrical end-uses in Chittenden County</a:t>
          </a:r>
        </a:p>
        <a:p>
          <a:endParaRPr lang="en-US" sz="1100"/>
        </a:p>
        <a:p>
          <a:r>
            <a:rPr lang="en-US" sz="1100" u="sng">
              <a:solidFill>
                <a:sysClr val="windowText" lastClr="000000"/>
              </a:solidFill>
            </a:rPr>
            <a:t>References used for electricity consumption:</a:t>
          </a:r>
        </a:p>
        <a:p>
          <a:r>
            <a:rPr lang="en-US" sz="1100"/>
            <a:t>- Efficiency Vermont Town level data, 2009, http://www.efficiencyvermont.com/about_us/energy_initiatives/vt_town_energy.aspx</a:t>
          </a:r>
        </a:p>
        <a:p>
          <a:r>
            <a:rPr lang="en-US" sz="1100"/>
            <a:t>- Market Penetration: "Overall Report for Existing Homes in Vermont FINAL, Submitted to :Vermont Department of Public Service, Submitted by: Nexus Market search, Inc., RLW Analytics, Inc., Dorothy Conant, June 8, 2009", and professional judgment where indicated.</a:t>
          </a:r>
        </a:p>
        <a:p>
          <a:r>
            <a:rPr lang="en-US" sz="1100"/>
            <a:t>-ACS 2006: American Community Survey, Census Bureau, 2006</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Energy Information Agency, Residential Energy Consumption Surveys, 2009, Appliances and Consumer Electronics in Northeast Region.</a:t>
          </a:r>
          <a:endParaRPr lang="en-US">
            <a:effectLst/>
          </a:endParaRPr>
        </a:p>
        <a:p>
          <a:endParaRPr lang="en-US" sz="1100"/>
        </a:p>
        <a:p>
          <a:r>
            <a:rPr lang="en-US" sz="1100"/>
            <a:t>Combination of the end use and fuel type</a:t>
          </a:r>
          <a:r>
            <a:rPr lang="en-US" sz="1100" baseline="0"/>
            <a:t> </a:t>
          </a:r>
          <a:r>
            <a:rPr lang="en-US" sz="1100"/>
            <a:t>assumptions</a:t>
          </a:r>
          <a:r>
            <a:rPr lang="en-US" sz="1100" baseline="0"/>
            <a:t> were used to calculate the thermal fuel </a:t>
          </a:r>
          <a:r>
            <a:rPr lang="en-US" sz="1100"/>
            <a:t>split by end use and Town.</a:t>
          </a:r>
        </a:p>
        <a:p>
          <a:endParaRPr lang="en-US" sz="1100"/>
        </a:p>
        <a:p>
          <a:r>
            <a:rPr lang="en-US" sz="1100"/>
            <a:t>Thermal fuels consumption by end use was calculated differently for natural gas and other fuels, because Town level consumption data was only available for natural gas. For natural gas, the Town's consumption is multiplied by the percentage attributed to each end use. For other thermal fuels, the statewide consumption data was multiplied by each Town's proportion of non-natural gas customer's to the total number of households in Vermont. This Town level consumption was then multiplied by the percentage attributed to each end use for each fuel. Town specific data was provided by Vermont Gas fot Chittenden County Towns. </a:t>
          </a:r>
        </a:p>
        <a:p>
          <a:endParaRPr lang="en-US" sz="1100"/>
        </a:p>
        <a:p>
          <a:r>
            <a:rPr lang="en-US" sz="1100"/>
            <a:t>Due to</a:t>
          </a:r>
          <a:r>
            <a:rPr lang="en-US" sz="1100" baseline="0"/>
            <a:t> the high level data source used for thermal fuels (state level data for all fuels but natural gas), and assumptions regarding what proportion of households using one fuel for heat and/or hot water, the end-use results by Town must be taken cautiously with a  clear understanding of the limitation of the data and the resulting low precision of the Town level data for fuels other than natural gas.</a:t>
          </a:r>
        </a:p>
        <a:p>
          <a:pPr marL="0" indent="0"/>
          <a:endParaRPr lang="en-US" sz="1100" u="none">
            <a:solidFill>
              <a:sysClr val="windowText" lastClr="000000"/>
            </a:solidFill>
            <a:latin typeface="+mn-lt"/>
            <a:ea typeface="+mn-ea"/>
            <a:cs typeface="+mn-cs"/>
          </a:endParaRPr>
        </a:p>
        <a:p>
          <a:pPr marL="0" indent="0"/>
          <a:r>
            <a:rPr lang="en-US" sz="1100" u="sng">
              <a:solidFill>
                <a:sysClr val="windowText" lastClr="000000"/>
              </a:solidFill>
              <a:latin typeface="+mn-lt"/>
              <a:ea typeface="+mn-ea"/>
              <a:cs typeface="+mn-cs"/>
            </a:rPr>
            <a:t>References used for thermal fuel consumption:</a:t>
          </a:r>
        </a:p>
        <a:p>
          <a:r>
            <a:rPr lang="en-US" sz="1100">
              <a:solidFill>
                <a:schemeClr val="dk1"/>
              </a:solidFill>
              <a:effectLst/>
              <a:latin typeface="+mn-lt"/>
              <a:ea typeface="+mn-ea"/>
              <a:cs typeface="+mn-cs"/>
            </a:rPr>
            <a:t>- Town level residential consumption data provided by Vermont Gas</a:t>
          </a:r>
          <a:r>
            <a:rPr lang="en-US" sz="1100" baseline="0">
              <a:solidFill>
                <a:schemeClr val="dk1"/>
              </a:solidFill>
              <a:effectLst/>
              <a:latin typeface="+mn-lt"/>
              <a:ea typeface="+mn-ea"/>
              <a:cs typeface="+mn-cs"/>
            </a:rPr>
            <a:t>, 2010</a:t>
          </a:r>
        </a:p>
        <a:p>
          <a:r>
            <a:rPr lang="en-US" sz="1100">
              <a:solidFill>
                <a:schemeClr val="dk1"/>
              </a:solidFill>
              <a:effectLst/>
              <a:latin typeface="+mn-lt"/>
              <a:ea typeface="+mn-ea"/>
              <a:cs typeface="+mn-cs"/>
            </a:rPr>
            <a:t>- Number</a:t>
          </a:r>
          <a:r>
            <a:rPr lang="en-US" sz="1100" baseline="0">
              <a:solidFill>
                <a:schemeClr val="dk1"/>
              </a:solidFill>
              <a:effectLst/>
              <a:latin typeface="+mn-lt"/>
              <a:ea typeface="+mn-ea"/>
              <a:cs typeface="+mn-cs"/>
            </a:rPr>
            <a:t> of households: </a:t>
          </a:r>
          <a:r>
            <a:rPr lang="en-US" sz="1100">
              <a:solidFill>
                <a:schemeClr val="dk1"/>
              </a:solidFill>
              <a:effectLst/>
              <a:latin typeface="+mn-lt"/>
              <a:ea typeface="+mn-ea"/>
              <a:cs typeface="+mn-cs"/>
            </a:rPr>
            <a:t>Efficiency Vermont Town level data, 2009, http://www.efficiencyvermont.com/about_us/energy_initiatives/vt_town_energy.aspx</a:t>
          </a:r>
          <a:endParaRPr lang="en-US">
            <a:effectLst/>
          </a:endParaRPr>
        </a:p>
        <a:p>
          <a:r>
            <a:rPr lang="en-US" sz="1100" baseline="0">
              <a:solidFill>
                <a:schemeClr val="dk1"/>
              </a:solidFill>
              <a:effectLst/>
              <a:latin typeface="+mn-lt"/>
              <a:ea typeface="+mn-ea"/>
              <a:cs typeface="+mn-cs"/>
            </a:rPr>
            <a:t>- Energy Information Agency, Residential Sector Energy Consumption Estimates, 1960-2009, Vermont (http://www.eia.gov/state/seds/hf.jsp?incfile=sep_use/res/use_res_VT.html&amp;mstate=Vermont)</a:t>
          </a:r>
        </a:p>
        <a:p>
          <a:r>
            <a:rPr lang="en-US" sz="1100" baseline="0">
              <a:solidFill>
                <a:sysClr val="windowText" lastClr="000000"/>
              </a:solidFill>
              <a:effectLst/>
              <a:latin typeface="+mn-lt"/>
              <a:ea typeface="+mn-ea"/>
              <a:cs typeface="+mn-cs"/>
            </a:rPr>
            <a:t>- Professional judgment where data was not available</a:t>
          </a:r>
          <a:endParaRPr lang="en-US">
            <a:solidFill>
              <a:sysClr val="windowText" lastClr="000000"/>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266700</xdr:colOff>
      <xdr:row>23</xdr:row>
      <xdr:rowOff>121920</xdr:rowOff>
    </xdr:from>
    <xdr:to>
      <xdr:col>13</xdr:col>
      <xdr:colOff>716280</xdr:colOff>
      <xdr:row>42</xdr:row>
      <xdr:rowOff>38100</xdr:rowOff>
    </xdr:to>
    <xdr:sp macro="" textlink="">
      <xdr:nvSpPr>
        <xdr:cNvPr id="2" name="TextBox 1"/>
        <xdr:cNvSpPr txBox="1"/>
      </xdr:nvSpPr>
      <xdr:spPr>
        <a:xfrm>
          <a:off x="1485900" y="4370070"/>
          <a:ext cx="7155180" cy="3535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Annual Average Employment or Jobs:</a:t>
          </a:r>
        </a:p>
        <a:p>
          <a:r>
            <a:rPr lang="en-US" sz="1100" b="0" i="0" u="none" strike="noStrike" baseline="0" smtClean="0">
              <a:solidFill>
                <a:schemeClr val="dk1"/>
              </a:solidFill>
              <a:latin typeface="+mn-lt"/>
              <a:ea typeface="+mn-ea"/>
              <a:cs typeface="+mn-cs"/>
            </a:rPr>
            <a:t>The employment figures in this report are a simple average of the reported monthly employment figures</a:t>
          </a:r>
        </a:p>
        <a:p>
          <a:r>
            <a:rPr lang="en-US" sz="1100" b="0" i="0" u="none" strike="noStrike" baseline="0" smtClean="0">
              <a:solidFill>
                <a:schemeClr val="dk1"/>
              </a:solidFill>
              <a:latin typeface="+mn-lt"/>
              <a:ea typeface="+mn-ea"/>
              <a:cs typeface="+mn-cs"/>
            </a:rPr>
            <a:t>for the calendar year. In some industries where there are significant seasonal changes in the number</a:t>
          </a:r>
        </a:p>
        <a:p>
          <a:r>
            <a:rPr lang="en-US" sz="1100" b="0" i="0" u="none" strike="noStrike" baseline="0" smtClean="0">
              <a:solidFill>
                <a:schemeClr val="dk1"/>
              </a:solidFill>
              <a:latin typeface="+mn-lt"/>
              <a:ea typeface="+mn-ea"/>
              <a:cs typeface="+mn-cs"/>
            </a:rPr>
            <a:t>employed during the year, the annual average employment will differ significantly from the level of</a:t>
          </a:r>
        </a:p>
        <a:p>
          <a:r>
            <a:rPr lang="en-US" sz="1100" b="0" i="0" u="none" strike="noStrike" baseline="0" smtClean="0">
              <a:solidFill>
                <a:schemeClr val="dk1"/>
              </a:solidFill>
              <a:latin typeface="+mn-lt"/>
              <a:ea typeface="+mn-ea"/>
              <a:cs typeface="+mn-cs"/>
            </a:rPr>
            <a:t>employment for any part of the year. E</a:t>
          </a:r>
        </a:p>
        <a:p>
          <a:r>
            <a:rPr lang="en-US" sz="1100" b="1" i="0" u="none" strike="noStrike" baseline="0" smtClean="0">
              <a:solidFill>
                <a:schemeClr val="dk1"/>
              </a:solidFill>
              <a:latin typeface="+mn-lt"/>
              <a:ea typeface="+mn-ea"/>
              <a:cs typeface="+mn-cs"/>
            </a:rPr>
            <a:t>Covered Employer:</a:t>
          </a:r>
        </a:p>
        <a:p>
          <a:r>
            <a:rPr lang="en-US" sz="1100" b="0" i="0" u="none" strike="noStrike" baseline="0" smtClean="0">
              <a:solidFill>
                <a:schemeClr val="dk1"/>
              </a:solidFill>
              <a:latin typeface="+mn-lt"/>
              <a:ea typeface="+mn-ea"/>
              <a:cs typeface="+mn-cs"/>
            </a:rPr>
            <a:t>Covered employer refers to a business subject to the Vermont Unemployment Compensation Law, or for</a:t>
          </a:r>
        </a:p>
        <a:p>
          <a:r>
            <a:rPr lang="en-US" sz="1100" b="0" i="0" u="none" strike="noStrike" baseline="0" smtClean="0">
              <a:solidFill>
                <a:schemeClr val="dk1"/>
              </a:solidFill>
              <a:latin typeface="+mn-lt"/>
              <a:ea typeface="+mn-ea"/>
              <a:cs typeface="+mn-cs"/>
            </a:rPr>
            <a:t>federal agencies, the Federal Unemployment Compensation Law. Covered employers </a:t>
          </a:r>
          <a:r>
            <a:rPr lang="en-US" sz="1100" b="1" i="0" u="none" strike="noStrike" baseline="0" smtClean="0">
              <a:solidFill>
                <a:schemeClr val="dk1"/>
              </a:solidFill>
              <a:latin typeface="+mn-lt"/>
              <a:ea typeface="+mn-ea"/>
              <a:cs typeface="+mn-cs"/>
            </a:rPr>
            <a:t>include</a:t>
          </a:r>
          <a:r>
            <a:rPr lang="en-US" sz="1100" b="0" i="0" u="none" strike="noStrike" baseline="0" smtClean="0">
              <a:solidFill>
                <a:schemeClr val="dk1"/>
              </a:solidFill>
              <a:latin typeface="+mn-lt"/>
              <a:ea typeface="+mn-ea"/>
              <a:cs typeface="+mn-cs"/>
            </a:rPr>
            <a:t>: 1)</a:t>
          </a:r>
        </a:p>
        <a:p>
          <a:r>
            <a:rPr lang="en-US" sz="1100" b="0" i="0" u="none" strike="noStrike" baseline="0" smtClean="0">
              <a:solidFill>
                <a:schemeClr val="dk1"/>
              </a:solidFill>
              <a:latin typeface="+mn-lt"/>
              <a:ea typeface="+mn-ea"/>
              <a:cs typeface="+mn-cs"/>
            </a:rPr>
            <a:t>private for-profit businesses with one or more employees, 2) federal, state and local government</a:t>
          </a:r>
        </a:p>
        <a:p>
          <a:r>
            <a:rPr lang="en-US" sz="1100" b="0" i="0" u="none" strike="noStrike" baseline="0" smtClean="0">
              <a:solidFill>
                <a:schemeClr val="dk1"/>
              </a:solidFill>
              <a:latin typeface="+mn-lt"/>
              <a:ea typeface="+mn-ea"/>
              <a:cs typeface="+mn-cs"/>
            </a:rPr>
            <a:t>agencies, 3) non-profit religious, charitable, or educational firms with at least four employees, 4) farms</a:t>
          </a:r>
        </a:p>
        <a:p>
          <a:r>
            <a:rPr lang="en-US" sz="1100" b="0" i="0" u="none" strike="noStrike" baseline="0" smtClean="0">
              <a:solidFill>
                <a:schemeClr val="dk1"/>
              </a:solidFill>
              <a:latin typeface="+mn-lt"/>
              <a:ea typeface="+mn-ea"/>
              <a:cs typeface="+mn-cs"/>
            </a:rPr>
            <a:t>employing ten or more workers, 5) private homes employing domestics, and 6) exempt firms who</a:t>
          </a:r>
        </a:p>
        <a:p>
          <a:r>
            <a:rPr lang="en-US" sz="1100" b="0" i="0" u="none" strike="noStrike" baseline="0" smtClean="0">
              <a:solidFill>
                <a:schemeClr val="dk1"/>
              </a:solidFill>
              <a:latin typeface="+mn-lt"/>
              <a:ea typeface="+mn-ea"/>
              <a:cs typeface="+mn-cs"/>
            </a:rPr>
            <a:t>voluntarily elect coverage. </a:t>
          </a:r>
          <a:r>
            <a:rPr lang="en-US" sz="1100" b="1" i="0" u="none" strike="noStrike" baseline="0" smtClean="0">
              <a:solidFill>
                <a:schemeClr val="dk1"/>
              </a:solidFill>
              <a:latin typeface="+mn-lt"/>
              <a:ea typeface="+mn-ea"/>
              <a:cs typeface="+mn-cs"/>
            </a:rPr>
            <a:t>Excluded </a:t>
          </a:r>
          <a:r>
            <a:rPr lang="en-US" sz="1100" b="0" i="0" u="none" strike="noStrike" baseline="0" smtClean="0">
              <a:solidFill>
                <a:schemeClr val="dk1"/>
              </a:solidFill>
              <a:latin typeface="+mn-lt"/>
              <a:ea typeface="+mn-ea"/>
              <a:cs typeface="+mn-cs"/>
            </a:rPr>
            <a:t>are: 1) the self-employed, 2) most farms, 3) some non-profits, 4)</a:t>
          </a:r>
        </a:p>
        <a:p>
          <a:r>
            <a:rPr lang="en-US" sz="1100" b="0" i="0" u="none" strike="noStrike" baseline="0" smtClean="0">
              <a:solidFill>
                <a:schemeClr val="dk1"/>
              </a:solidFill>
              <a:latin typeface="+mn-lt"/>
              <a:ea typeface="+mn-ea"/>
              <a:cs typeface="+mn-cs"/>
            </a:rPr>
            <a:t>Churches, 4) railroads (workers are covered by the railroad unemployment insurance system), 5) elected</a:t>
          </a:r>
        </a:p>
        <a:p>
          <a:r>
            <a:rPr lang="en-US" sz="1100" b="0" i="0" u="none" strike="noStrike" baseline="0" smtClean="0">
              <a:solidFill>
                <a:schemeClr val="dk1"/>
              </a:solidFill>
              <a:latin typeface="+mn-lt"/>
              <a:ea typeface="+mn-ea"/>
              <a:cs typeface="+mn-cs"/>
            </a:rPr>
            <a:t>officials, 6) officers and family members of sole proprietorships or partnerships, and 7) student workers in</a:t>
          </a:r>
        </a:p>
        <a:p>
          <a:r>
            <a:rPr lang="en-US" sz="1100" b="0" i="0" u="none" strike="noStrike" baseline="0" smtClean="0">
              <a:solidFill>
                <a:schemeClr val="dk1"/>
              </a:solidFill>
              <a:latin typeface="+mn-lt"/>
              <a:ea typeface="+mn-ea"/>
              <a:cs typeface="+mn-cs"/>
            </a:rPr>
            <a:t>a work-study or academic program.</a:t>
          </a:r>
        </a:p>
        <a:p>
          <a:r>
            <a:rPr lang="en-US" sz="1100" b="1" i="0" u="none" strike="noStrike" baseline="0" smtClean="0">
              <a:solidFill>
                <a:schemeClr val="dk1"/>
              </a:solidFill>
              <a:latin typeface="+mn-lt"/>
              <a:ea typeface="+mn-ea"/>
              <a:cs typeface="+mn-cs"/>
            </a:rPr>
            <a:t>Covered Employment and Wages:</a:t>
          </a:r>
        </a:p>
        <a:p>
          <a:r>
            <a:rPr lang="en-US" sz="1100" b="0" i="0" u="none" strike="noStrike" baseline="0" smtClean="0">
              <a:solidFill>
                <a:schemeClr val="dk1"/>
              </a:solidFill>
              <a:latin typeface="+mn-lt"/>
              <a:ea typeface="+mn-ea"/>
              <a:cs typeface="+mn-cs"/>
            </a:rPr>
            <a:t>The data in this report refers to employees and their wages in businesses required to furnish</a:t>
          </a:r>
        </a:p>
        <a:p>
          <a:r>
            <a:rPr lang="en-US" sz="1100" b="0" i="0" u="none" strike="noStrike" baseline="0" smtClean="0">
              <a:solidFill>
                <a:schemeClr val="dk1"/>
              </a:solidFill>
              <a:latin typeface="+mn-lt"/>
              <a:ea typeface="+mn-ea"/>
              <a:cs typeface="+mn-cs"/>
            </a:rPr>
            <a:t>unemployment insurance coverage. See Covered Employer.mployment is the same as the number of jobs.</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fficiency%20Utility/BUDGETS/Operating%20Budgets/2002-06%20Internal%20Operating%20Budgets/E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fficiency%20Utility/EEU%20Demand%20Resource%20Plan/EEU%20DRP%202012/Analysis/Residential%20Electro/1%20-%20VELCO%20Unconstrained/RNC%20Modul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fficiency%20Utility/BUDGETS/Operating%20Budgets/2002-06%20Internal%20Operating%20Budgets/I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onsulting/Projects%20&amp;%20Utility%20Info/Active/NY/NY%20DPS/Screening/Modules%20-%20Ready/Long%20Island/PST%20NY%20Elec%20Update,%20Long%20Island%2011-07-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Efficiency%20Utility/EEU%20Demand%20Resource%20Plan/EEU%20DRP%202012/Analysis/Residential%20Electro/1%20-%20VELCO%20Unconstrained/Vermont%20RES%20Market_V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Efficiency%20Utility/BUDGETS/Operating%20Budgets/2002-06%20Internal%20Operating%20Budgets/CIE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nsulting/Projects%20&amp;%20Utility%20Info/Active/Screening%20Tools%20(Internal)/CMD/Central%20Measure%20Databas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rh\vol1\Efficiency%20Utility\Technical%20Services\Screening%20tools\Prescriptive%20Screening\2005%20Screening\Res\RNC_Appliances_2005_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rh\vol1\Efficiency%20Utility\Technical%20Services\Screening%20tools\Prescriptive%20Screening\2005%20Screening\Res\RNC_Lighting_2005_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fficiency%20Utility/EEU%20Demand%20Resource%20Plan/EEU%20DRP%202012/Analysis/Residential%20Electro/1%20-%20VELCO%20Unconstrained/VelcoRes_Fcst2010%20VEI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sulting/Projects%20&amp;%20Utility%20Info/Active/NEEP/APPLIANCES/2007%20Re-screening/app%20scrn%20to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sulting/Projects%20&amp;%20Utility%20Info/Active/NY/LIPA/ELI/2008%20scenarios/blocks%209-10%20working%20files/PST%20v2.05.05a%20ELI%20Block%207%2001-14-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sulting/Projects%20&amp;%20Utility%20Info/Active/NY/LIPA/ELI/2008%20scenarios/blocks%209-10%20working%20files/Block%202%20Plus%20Res%20Scrn%200101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fficiency%20Utility/EEU%20Demand%20Resource%20Plan/EEU%20DRP%202012/Analysis/Residential%20Electro/1%20-%20VELCO%20Unconstrained/MRI%20DRP%20201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fficiency%20Utility/BUDGETS/Operating%20Budgets/2002-06%20Internal%20Operating%20Budgets/CE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fficiency%20Utility/BUDGETS/Public%20DPS%20Proposed%20Budgets/rnc_in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nsulting/Projects%20&amp;%20Utility%20Info/Active/NY/NY%20DPS/Screening/Modules%20-%20Ready/Long%20Island/Low-Income%20Module,%20LI,%2011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02 Operating Expenses"/>
      <sheetName val="Feb '02 Operating Expenses"/>
      <sheetName val="Mar '02 Operating Expenses"/>
      <sheetName val="Apr '02 Operating Expenses"/>
      <sheetName val="May '02 Operating Expenses"/>
      <sheetName val="Jun '02 Operating Expenses"/>
      <sheetName val="Jul '02 Operating Expenses"/>
      <sheetName val="Aug '02 Operating Expenses"/>
      <sheetName val="Sept '02 Operating Expenses"/>
      <sheetName val="Data Entry"/>
      <sheetName val="Oct '02 Operating Expenses"/>
      <sheetName val="Nov '02 Operating Expenses"/>
      <sheetName val="EP Monthly Graphs"/>
      <sheetName val="2002 Summary Page "/>
      <sheetName val="Dec '02 Operating Expenses"/>
      <sheetName val="Scenarios"/>
      <sheetName val="Participants"/>
      <sheetName val="NEEP charges - 2001 and 2002"/>
      <sheetName val="Defined Tables"/>
      <sheetName val="Assumptions"/>
      <sheetName val="Summary Sheet"/>
      <sheetName val="EP-monthly"/>
      <sheetName val="Cool Change"/>
      <sheetName val="EP Monthly Forecasting"/>
      <sheetName val="Mktg (EP &amp; RNC)"/>
      <sheetName val="Old Scenario Model"/>
      <sheetName val="Cost Sharing APT "/>
      <sheetName val="Field Service Costs"/>
      <sheetName val="Monthly Graphs"/>
      <sheetName val="Monthly Actuals Graph"/>
      <sheetName val="NEEP charges - 2000 and 2001"/>
      <sheetName val="NEEP charges"/>
      <sheetName val="EP-monthly (Yr3)"/>
      <sheetName val="Scenario 4"/>
      <sheetName val="Sum"/>
      <sheetName val="sum2"/>
      <sheetName val="A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4">
          <cell r="L4" t="str">
            <v/>
          </cell>
          <cell r="N4" t="str">
            <v/>
          </cell>
          <cell r="T4" t="str">
            <v/>
          </cell>
        </row>
        <row r="5">
          <cell r="L5" t="str">
            <v/>
          </cell>
          <cell r="N5" t="str">
            <v/>
          </cell>
          <cell r="T5" t="str">
            <v/>
          </cell>
        </row>
        <row r="6">
          <cell r="L6" t="str">
            <v/>
          </cell>
          <cell r="N6" t="str">
            <v/>
          </cell>
          <cell r="T6" t="str">
            <v/>
          </cell>
        </row>
        <row r="7">
          <cell r="L7" t="str">
            <v/>
          </cell>
          <cell r="N7" t="str">
            <v/>
          </cell>
          <cell r="T7" t="str">
            <v/>
          </cell>
        </row>
        <row r="8">
          <cell r="L8" t="str">
            <v/>
          </cell>
          <cell r="N8" t="str">
            <v/>
          </cell>
          <cell r="T8" t="str">
            <v/>
          </cell>
        </row>
        <row r="9">
          <cell r="L9" t="str">
            <v/>
          </cell>
          <cell r="N9" t="str">
            <v/>
          </cell>
          <cell r="T9" t="str">
            <v/>
          </cell>
        </row>
        <row r="10">
          <cell r="L10" t="str">
            <v/>
          </cell>
          <cell r="N10" t="str">
            <v/>
          </cell>
          <cell r="T10" t="str">
            <v/>
          </cell>
        </row>
        <row r="11">
          <cell r="N11" t="str">
            <v/>
          </cell>
          <cell r="T11" t="str">
            <v/>
          </cell>
        </row>
        <row r="12">
          <cell r="N12" t="str">
            <v/>
          </cell>
          <cell r="T12" t="str">
            <v/>
          </cell>
        </row>
        <row r="13">
          <cell r="N13" t="str">
            <v/>
          </cell>
          <cell r="T13" t="str">
            <v/>
          </cell>
        </row>
        <row r="14">
          <cell r="N14" t="str">
            <v/>
          </cell>
          <cell r="T14" t="str">
            <v/>
          </cell>
        </row>
        <row r="15">
          <cell r="N15" t="str">
            <v/>
          </cell>
          <cell r="T15" t="str">
            <v/>
          </cell>
        </row>
        <row r="16">
          <cell r="N16" t="str">
            <v/>
          </cell>
          <cell r="T16" t="str">
            <v/>
          </cell>
        </row>
        <row r="17">
          <cell r="N17" t="str">
            <v/>
          </cell>
          <cell r="T17" t="str">
            <v/>
          </cell>
        </row>
        <row r="18">
          <cell r="N18" t="str">
            <v/>
          </cell>
          <cell r="T18" t="str">
            <v/>
          </cell>
        </row>
        <row r="19">
          <cell r="N19" t="str">
            <v/>
          </cell>
          <cell r="T19" t="str">
            <v/>
          </cell>
        </row>
        <row r="20">
          <cell r="N20" t="str">
            <v/>
          </cell>
          <cell r="T20" t="str">
            <v/>
          </cell>
        </row>
        <row r="21">
          <cell r="N21" t="str">
            <v/>
          </cell>
          <cell r="T21" t="str">
            <v/>
          </cell>
        </row>
        <row r="22">
          <cell r="N22" t="str">
            <v/>
          </cell>
          <cell r="T22" t="str">
            <v/>
          </cell>
        </row>
        <row r="23">
          <cell r="N23" t="str">
            <v/>
          </cell>
          <cell r="T23" t="str">
            <v/>
          </cell>
        </row>
        <row r="24">
          <cell r="N24" t="str">
            <v/>
          </cell>
          <cell r="T24" t="str">
            <v/>
          </cell>
        </row>
        <row r="25">
          <cell r="N25" t="str">
            <v/>
          </cell>
          <cell r="T25" t="str">
            <v/>
          </cell>
        </row>
        <row r="26">
          <cell r="N26" t="str">
            <v/>
          </cell>
          <cell r="T26" t="str">
            <v/>
          </cell>
        </row>
        <row r="27">
          <cell r="N27" t="str">
            <v/>
          </cell>
          <cell r="T27" t="str">
            <v/>
          </cell>
        </row>
        <row r="28">
          <cell r="N28" t="str">
            <v/>
          </cell>
          <cell r="T28" t="str">
            <v/>
          </cell>
        </row>
        <row r="29">
          <cell r="N29" t="str">
            <v/>
          </cell>
          <cell r="T29" t="str">
            <v/>
          </cell>
        </row>
        <row r="30">
          <cell r="N30" t="str">
            <v/>
          </cell>
          <cell r="T30" t="str">
            <v/>
          </cell>
        </row>
        <row r="31">
          <cell r="N31" t="str">
            <v/>
          </cell>
          <cell r="T31" t="str">
            <v/>
          </cell>
        </row>
        <row r="32">
          <cell r="N32" t="str">
            <v/>
          </cell>
          <cell r="T32" t="str">
            <v/>
          </cell>
        </row>
        <row r="33">
          <cell r="N33" t="str">
            <v/>
          </cell>
          <cell r="T33" t="str">
            <v/>
          </cell>
        </row>
        <row r="34">
          <cell r="N34" t="str">
            <v/>
          </cell>
          <cell r="T34" t="str">
            <v/>
          </cell>
        </row>
        <row r="35">
          <cell r="N35" t="str">
            <v/>
          </cell>
          <cell r="T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sheetData>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1"/>
      <sheetName val="INSTRUCTIONS-2"/>
      <sheetName val="LBnotes"/>
      <sheetName val="Setup"/>
      <sheetName val="Yr 1 Inputs"/>
      <sheetName val="meas non-resource"/>
      <sheetName val="Yr X changes"/>
      <sheetName val="no_with_in prgm"/>
      <sheetName val="bdgts"/>
      <sheetName val="Incentives calcs"/>
      <sheetName val="Savings calcs"/>
      <sheetName val="Measure Count"/>
      <sheetName val="Summary Savings &amp; Incentives"/>
      <sheetName val="RES CFL"/>
      <sheetName val="RES Specialty CFL &lt;=15W"/>
      <sheetName val="RES Specialty CFL &gt;15W"/>
      <sheetName val="RES SSL Recessed Downlight Fix"/>
      <sheetName val="RES SSL Lamps"/>
      <sheetName val="Indoor Lighting Controls"/>
      <sheetName val="Outdoor Lighting Controls"/>
      <sheetName val="Clothes Washer CEE T2"/>
      <sheetName val="Clothes Washer CEE T3"/>
      <sheetName val="Heat Pump Dryer"/>
      <sheetName val="Refrigerator EStar"/>
      <sheetName val="Refrigerator CEE T2"/>
      <sheetName val="Refrigerator CEE T3"/>
      <sheetName val="Dishwasher EStar"/>
      <sheetName val="Pool Pump Motor"/>
      <sheetName val="Pool Pump Timer"/>
      <sheetName val="Central AC CEE T2 (EH)"/>
      <sheetName val="Furnace Fan"/>
      <sheetName val="Shell Savings (F20)"/>
      <sheetName val="Shell_SFD_Ref"/>
      <sheetName val="Shell_SFA_Ref"/>
      <sheetName val="Shell_Data_Ref"/>
      <sheetName val="2007-2009 RNC Query"/>
      <sheetName val="AC and Ventilation (F20)"/>
      <sheetName val="Measure Documentation (F20)"/>
    </sheetNames>
    <sheetDataSet>
      <sheetData sheetId="0"/>
      <sheetData sheetId="1"/>
      <sheetData sheetId="2"/>
      <sheetData sheetId="3">
        <row r="14">
          <cell r="B14">
            <v>2.5999999999999999E-2</v>
          </cell>
        </row>
      </sheetData>
      <sheetData sheetId="4">
        <row r="1">
          <cell r="I1">
            <v>0.9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sheetName val="Jan '02 Operating Expenses"/>
      <sheetName val="Feb '02 Operating Expenses"/>
      <sheetName val="Mar '02 Operating Expenses"/>
      <sheetName val="Apr '02 Operating Expenses"/>
      <sheetName val="May '02 Operating Expenses"/>
      <sheetName val="Jun '02 Operating Expenses"/>
      <sheetName val="Jul '02 Operating Expenses"/>
      <sheetName val="Aug '02 Operating Expenses"/>
      <sheetName val="Sept '02 Operating Expenses"/>
      <sheetName val="Oct '02 Operating Expenses"/>
      <sheetName val="Nov '02 Operating Expenses"/>
      <sheetName val="IT Monthly Graph"/>
      <sheetName val="2002 Summary Page "/>
      <sheetName val="Dec '02 Operating Expenses"/>
      <sheetName val="Assumptions"/>
      <sheetName val="Defined Tables"/>
      <sheetName val="Summary Sheet"/>
      <sheetName val="IT-monthly"/>
      <sheetName val="Hardware Purchases"/>
      <sheetName val="Monthly Graph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P4" t="str">
            <v/>
          </cell>
          <cell r="R4" t="str">
            <v/>
          </cell>
          <cell r="T4" t="str">
            <v/>
          </cell>
        </row>
        <row r="5">
          <cell r="P5" t="str">
            <v/>
          </cell>
          <cell r="R5" t="str">
            <v/>
          </cell>
          <cell r="T5" t="str">
            <v/>
          </cell>
        </row>
        <row r="6">
          <cell r="P6" t="str">
            <v/>
          </cell>
          <cell r="R6" t="str">
            <v/>
          </cell>
          <cell r="T6" t="str">
            <v/>
          </cell>
        </row>
        <row r="7">
          <cell r="P7" t="str">
            <v/>
          </cell>
          <cell r="T7" t="str">
            <v/>
          </cell>
        </row>
        <row r="8">
          <cell r="P8" t="str">
            <v/>
          </cell>
          <cell r="T8" t="str">
            <v/>
          </cell>
        </row>
        <row r="9">
          <cell r="P9" t="str">
            <v/>
          </cell>
          <cell r="T9" t="str">
            <v/>
          </cell>
        </row>
        <row r="10">
          <cell r="P10" t="str">
            <v/>
          </cell>
          <cell r="T10" t="str">
            <v/>
          </cell>
        </row>
        <row r="11">
          <cell r="P11" t="str">
            <v/>
          </cell>
          <cell r="T11" t="str">
            <v/>
          </cell>
        </row>
        <row r="12">
          <cell r="P12" t="str">
            <v/>
          </cell>
          <cell r="T12" t="str">
            <v/>
          </cell>
        </row>
        <row r="13">
          <cell r="P13" t="str">
            <v/>
          </cell>
          <cell r="T13" t="str">
            <v/>
          </cell>
        </row>
        <row r="14">
          <cell r="P14" t="str">
            <v/>
          </cell>
          <cell r="T14" t="str">
            <v/>
          </cell>
        </row>
        <row r="15">
          <cell r="P15" t="str">
            <v/>
          </cell>
          <cell r="T15" t="str">
            <v/>
          </cell>
        </row>
        <row r="16">
          <cell r="P16" t="str">
            <v/>
          </cell>
          <cell r="T16" t="str">
            <v/>
          </cell>
        </row>
        <row r="17">
          <cell r="P17" t="str">
            <v/>
          </cell>
          <cell r="T17" t="str">
            <v/>
          </cell>
        </row>
        <row r="18">
          <cell r="P18" t="str">
            <v/>
          </cell>
          <cell r="T18" t="str">
            <v/>
          </cell>
        </row>
        <row r="19">
          <cell r="P19" t="str">
            <v/>
          </cell>
          <cell r="T19" t="str">
            <v/>
          </cell>
        </row>
        <row r="20">
          <cell r="P20" t="str">
            <v/>
          </cell>
          <cell r="T20" t="str">
            <v/>
          </cell>
        </row>
        <row r="21">
          <cell r="P21" t="str">
            <v/>
          </cell>
          <cell r="T21" t="str">
            <v/>
          </cell>
        </row>
        <row r="22">
          <cell r="P22" t="str">
            <v/>
          </cell>
          <cell r="T22" t="str">
            <v/>
          </cell>
        </row>
        <row r="23">
          <cell r="P23" t="str">
            <v/>
          </cell>
          <cell r="T23" t="str">
            <v/>
          </cell>
        </row>
        <row r="24">
          <cell r="P24" t="str">
            <v/>
          </cell>
          <cell r="T24" t="str">
            <v/>
          </cell>
        </row>
        <row r="25">
          <cell r="P25" t="str">
            <v/>
          </cell>
          <cell r="T25" t="str">
            <v/>
          </cell>
        </row>
        <row r="26">
          <cell r="T26" t="str">
            <v/>
          </cell>
        </row>
        <row r="27">
          <cell r="T27" t="str">
            <v/>
          </cell>
        </row>
        <row r="28">
          <cell r="T28" t="str">
            <v/>
          </cell>
        </row>
        <row r="29">
          <cell r="T29" t="str">
            <v/>
          </cell>
        </row>
        <row r="30">
          <cell r="T30" t="str">
            <v/>
          </cell>
        </row>
        <row r="31">
          <cell r="T31" t="str">
            <v/>
          </cell>
        </row>
        <row r="32">
          <cell r="T32" t="str">
            <v/>
          </cell>
        </row>
        <row r="33">
          <cell r="T33" t="str">
            <v/>
          </cell>
        </row>
        <row r="34">
          <cell r="T34" t="str">
            <v/>
          </cell>
        </row>
        <row r="35">
          <cell r="T35" t="str">
            <v/>
          </cell>
        </row>
      </sheetData>
      <sheetData sheetId="17"/>
      <sheetData sheetId="18"/>
      <sheetData sheetId="19"/>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 Shapes"/>
      <sheetName val="NYSERDA 2003 load shapes"/>
      <sheetName val="Meas Cost &amp; Save Yr1"/>
      <sheetName val="Pivot PassFail"/>
      <sheetName val="Meas Non-Resource"/>
      <sheetName val="Meas Cost &amp; Save Changes"/>
      <sheetName val="No Program"/>
      <sheetName val="With Program"/>
      <sheetName val="In Program"/>
      <sheetName val="Pen Profiles"/>
      <sheetName val="Penetrations"/>
      <sheetName val="Elec Budgets"/>
      <sheetName val="Gas Budgets"/>
      <sheetName val="Non-Utility Budgets"/>
      <sheetName val="Budgets Summary"/>
      <sheetName val="MeasReview by meas"/>
      <sheetName val="MeasReview Pivot"/>
      <sheetName val="MeasReview"/>
      <sheetName val="ArrayNames"/>
      <sheetName val="Top Meas Data"/>
      <sheetName val="MeasScrn"/>
      <sheetName val="MeasSaveYr"/>
      <sheetName val="Program Cost-Effect"/>
      <sheetName val="BenefitsCosts Review"/>
      <sheetName val="Net Benefits"/>
      <sheetName val="Costs Summary"/>
      <sheetName val="Benefits Summary"/>
      <sheetName val="Summary - Achievable"/>
      <sheetName val="Summary Results by Year"/>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ConfigSheets"/>
      <sheetName val="Dev"/>
    </sheetNames>
    <sheetDataSet>
      <sheetData sheetId="0" refreshError="1"/>
      <sheetData sheetId="1">
        <row r="5">
          <cell r="A5" t="str">
            <v>Res</v>
          </cell>
        </row>
        <row r="6">
          <cell r="A6" t="str">
            <v>Com</v>
          </cell>
        </row>
        <row r="7">
          <cell r="A7" t="str">
            <v>Ind</v>
          </cell>
        </row>
      </sheetData>
      <sheetData sheetId="2">
        <row r="3">
          <cell r="E3" t="str">
            <v>Lost Opp</v>
          </cell>
        </row>
        <row r="4">
          <cell r="E4" t="str">
            <v>Retrofit</v>
          </cell>
        </row>
        <row r="5">
          <cell r="E5" t="str">
            <v>Mixed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ources"/>
      <sheetName val="Shares"/>
      <sheetName val="ShareUEC"/>
      <sheetName val="Final EH Penetrations"/>
      <sheetName val="Final LI Penetrations"/>
      <sheetName val="Final RNC Penetrations"/>
      <sheetName val="Final EP Penetrations"/>
      <sheetName val="Savings Yr 2011"/>
      <sheetName val="VT RES Market"/>
      <sheetName val="NMR Data"/>
      <sheetName val="Census"/>
      <sheetName val="VT RES Market (2)"/>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sheetName val="Jan '02 Operating Expenses"/>
      <sheetName val="Feb '02 Operating Expenses"/>
      <sheetName val="Mar '02 Operating Expenses"/>
      <sheetName val="Apr '02 Operating Expenses"/>
      <sheetName val="May '02 Operating Expenses"/>
      <sheetName val="Jun '02 Operating Expenses"/>
      <sheetName val="Jul '02 Operating Expenses"/>
      <sheetName val="Aug '02 Operating Expenses"/>
      <sheetName val="Sept '02 Operating Expenses"/>
      <sheetName val="Access Export Committed"/>
      <sheetName val="Oct '02 Operating Expenses"/>
      <sheetName val="Nov '02 Operating Expenses"/>
      <sheetName val="Access Export"/>
      <sheetName val="CIEM Monthly Graphs"/>
      <sheetName val="2002 Summary Page "/>
      <sheetName val="Dec '02 Operating Expenses"/>
      <sheetName val="Defined Tables"/>
      <sheetName val="Assumptions"/>
      <sheetName val="Summary Sheet"/>
      <sheetName val="CIEM-monthly "/>
      <sheetName val="NEEP charges - 2001 and 2002"/>
      <sheetName val="CIEM on HOLD"/>
      <sheetName val="Monthly Graphs"/>
      <sheetName val=" MWh &amp; Incentives forecast"/>
      <sheetName val="Monthly Actuals Graph"/>
      <sheetName val="Cost Summary"/>
      <sheetName val="Incentive Summary"/>
      <sheetName val="Savings Summary"/>
      <sheetName val="MWh &amp; Incentives forecast"/>
      <sheetName val="Job Summary thru 1-31-02"/>
      <sheetName val="AccessExport"/>
      <sheetName val="Q1'02  Incentive Analysis"/>
      <sheetName val="Q2'02 Incentive Analysis"/>
      <sheetName val="Q3'02 Incentive Analysis"/>
      <sheetName val="Q4'02 Incentive Analysis"/>
      <sheetName val="NEEP charges - 2000 and 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L4" t="str">
            <v/>
          </cell>
          <cell r="P4" t="str">
            <v/>
          </cell>
        </row>
        <row r="5">
          <cell r="L5" t="str">
            <v/>
          </cell>
          <cell r="P5" t="str">
            <v/>
          </cell>
        </row>
        <row r="6">
          <cell r="L6" t="str">
            <v/>
          </cell>
          <cell r="P6" t="str">
            <v/>
          </cell>
        </row>
        <row r="7">
          <cell r="L7" t="str">
            <v/>
          </cell>
          <cell r="P7" t="str">
            <v/>
          </cell>
        </row>
        <row r="8">
          <cell r="L8" t="str">
            <v/>
          </cell>
          <cell r="P8" t="str">
            <v/>
          </cell>
        </row>
        <row r="9">
          <cell r="L9" t="str">
            <v/>
          </cell>
          <cell r="P9" t="str">
            <v/>
          </cell>
        </row>
        <row r="10">
          <cell r="L10" t="str">
            <v/>
          </cell>
          <cell r="P10" t="str">
            <v/>
          </cell>
        </row>
        <row r="11">
          <cell r="P11" t="str">
            <v/>
          </cell>
        </row>
        <row r="12">
          <cell r="P12" t="str">
            <v/>
          </cell>
        </row>
        <row r="13">
          <cell r="P13" t="str">
            <v/>
          </cell>
        </row>
        <row r="14">
          <cell r="P14" t="str">
            <v/>
          </cell>
        </row>
        <row r="15">
          <cell r="P15" t="str">
            <v/>
          </cell>
        </row>
        <row r="16">
          <cell r="P16" t="str">
            <v/>
          </cell>
        </row>
        <row r="17">
          <cell r="P17" t="str">
            <v/>
          </cell>
        </row>
        <row r="18">
          <cell r="P18" t="str">
            <v/>
          </cell>
        </row>
        <row r="19">
          <cell r="P19" t="str">
            <v/>
          </cell>
        </row>
        <row r="20">
          <cell r="P20" t="str">
            <v/>
          </cell>
        </row>
        <row r="21">
          <cell r="P21" t="str">
            <v/>
          </cell>
        </row>
        <row r="22">
          <cell r="P22" t="str">
            <v/>
          </cell>
        </row>
        <row r="23">
          <cell r="P23" t="str">
            <v/>
          </cell>
        </row>
        <row r="24">
          <cell r="P24" t="str">
            <v/>
          </cell>
        </row>
        <row r="25">
          <cell r="P25" t="str">
            <v/>
          </cell>
        </row>
      </sheetData>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ew Measure Template"/>
      <sheetName val="CFL"/>
      <sheetName val="Specialty CFL &lt;=15W"/>
      <sheetName val="Specialty CFL &gt;15W"/>
      <sheetName val="LED"/>
      <sheetName val="Indoor Lighting Controls"/>
      <sheetName val="Outdoor Lighting Controls"/>
      <sheetName val="Interior Fixture"/>
      <sheetName val="Exterior Fixture"/>
      <sheetName val="Clothes Washer EStar"/>
      <sheetName val="Clothes Washer CEE T3"/>
      <sheetName val="Clothes Washer Early Repl"/>
      <sheetName val="Heat Pump Dryer"/>
      <sheetName val="Dishwasher"/>
      <sheetName val="Dehumidifier"/>
      <sheetName val="Refrigerator EStar"/>
      <sheetName val="Refrigerator CEE T2"/>
      <sheetName val="Refrigerator T2 Early Repl"/>
      <sheetName val="2nd Refrigerator Early Retire"/>
      <sheetName val="Freezer EStar"/>
      <sheetName val="Room AC EStar"/>
      <sheetName val="Room AC CEE T1"/>
      <sheetName val="Central AC EStar"/>
      <sheetName val="Central AC CEE T2"/>
      <sheetName val="Exhaust Fan"/>
      <sheetName val="ECM Fan Motor"/>
      <sheetName val="Pool Pump Motor"/>
      <sheetName val="Pool Pump Timer"/>
      <sheetName val="Heat Pump DHW"/>
      <sheetName val="Low Flow Showerhead"/>
      <sheetName val="Faucet Aerator"/>
      <sheetName val="DHW Tank Wrap"/>
      <sheetName val="Central Measure Database"/>
    </sheetNames>
    <sheetDataSet>
      <sheetData sheetId="0">
        <row r="2">
          <cell r="J2">
            <v>2009</v>
          </cell>
        </row>
        <row r="3">
          <cell r="J3">
            <v>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RunTools"/>
      <sheetName val="CustomerInfo"/>
      <sheetName val="ioMFGeneral"/>
      <sheetName val="appxMFGeneral"/>
      <sheetName val="Review"/>
      <sheetName val="CustRpt"/>
      <sheetName val="Inspect"/>
      <sheetName val="CashFlow"/>
      <sheetName val="IncentiveLtr"/>
      <sheetName val="CheckRequest"/>
      <sheetName val="tblMFGeneralTechnology"/>
      <sheetName val="tblHoursDiscount"/>
      <sheetName val="tblLoadShape"/>
      <sheetName val="tblHotWaterType"/>
      <sheetName val="tblHeatType"/>
      <sheetName val="tblFuelType"/>
      <sheetName val="tblReportDate"/>
      <sheetName val="tblMeasureType"/>
      <sheetName val="tblMeasureCategory"/>
      <sheetName val="tblMeasureStatus"/>
      <sheetName val="tblModVBA"/>
      <sheetName val="Summary"/>
      <sheetName val="VersionNotes"/>
      <sheetName val="mscVBATables"/>
      <sheetName val="DBDefn"/>
      <sheetName val="New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EndUse</v>
          </cell>
          <cell r="B1" t="str">
            <v>Index</v>
          </cell>
          <cell r="C1" t="str">
            <v>WonKWH</v>
          </cell>
          <cell r="D1" t="str">
            <v>WoffKWH</v>
          </cell>
          <cell r="E1" t="str">
            <v>SonKWH</v>
          </cell>
          <cell r="F1" t="str">
            <v>SoffKWH</v>
          </cell>
          <cell r="G1" t="str">
            <v>WKW</v>
          </cell>
          <cell r="H1" t="str">
            <v>SKW</v>
          </cell>
          <cell r="I1" t="str">
            <v>FSKW</v>
          </cell>
          <cell r="J1" t="str">
            <v>FullLoadHours</v>
          </cell>
          <cell r="K1" t="str">
            <v>Test</v>
          </cell>
          <cell r="L1" t="str">
            <v>Screening Tool Lookup</v>
          </cell>
          <cell r="M1" t="str">
            <v>Load profile Version</v>
          </cell>
        </row>
        <row r="2">
          <cell r="A2" t="str">
            <v>Residential Indoor Lighting</v>
          </cell>
          <cell r="B2">
            <v>1</v>
          </cell>
          <cell r="C2">
            <v>0.28699999999999998</v>
          </cell>
          <cell r="D2">
            <v>7.5999999999999998E-2</v>
          </cell>
          <cell r="E2">
            <v>0.36</v>
          </cell>
          <cell r="F2">
            <v>0.27700000000000002</v>
          </cell>
          <cell r="G2">
            <v>0.23200000000000001</v>
          </cell>
          <cell r="H2">
            <v>0.123</v>
          </cell>
          <cell r="I2">
            <v>0.223</v>
          </cell>
          <cell r="J2">
            <v>1460</v>
          </cell>
          <cell r="K2" t="str">
            <v>0.2870.0760.360.2770.2320.1230.223</v>
          </cell>
          <cell r="L2">
            <v>1</v>
          </cell>
          <cell r="M2">
            <v>1</v>
          </cell>
        </row>
        <row r="3">
          <cell r="A3" t="str">
            <v>Residential Outdoor Lighting</v>
          </cell>
          <cell r="B3">
            <v>2</v>
          </cell>
          <cell r="C3">
            <v>0.19800000000000001</v>
          </cell>
          <cell r="D3">
            <v>0.13</v>
          </cell>
          <cell r="E3">
            <v>0.28899999999999998</v>
          </cell>
          <cell r="F3">
            <v>0.38300000000000001</v>
          </cell>
          <cell r="G3">
            <v>0.114</v>
          </cell>
          <cell r="H3">
            <v>5.5399999999999998E-2</v>
          </cell>
          <cell r="I3">
            <v>0.112</v>
          </cell>
          <cell r="J3">
            <v>1095</v>
          </cell>
          <cell r="K3" t="str">
            <v>0.1980.130.2890.3830.1140.05540.112</v>
          </cell>
          <cell r="L3">
            <v>2</v>
          </cell>
          <cell r="M3">
            <v>2</v>
          </cell>
        </row>
        <row r="4">
          <cell r="A4" t="str">
            <v>Residential Outdoor HID</v>
          </cell>
          <cell r="B4">
            <v>3</v>
          </cell>
          <cell r="C4">
            <v>0.19800000000000001</v>
          </cell>
          <cell r="D4">
            <v>0.13</v>
          </cell>
          <cell r="E4">
            <v>0.28899999999999998</v>
          </cell>
          <cell r="F4">
            <v>0.38300000000000001</v>
          </cell>
          <cell r="G4">
            <v>0.29799999999999999</v>
          </cell>
          <cell r="H4">
            <v>0.14499999999999999</v>
          </cell>
          <cell r="I4">
            <v>0.29399999999999998</v>
          </cell>
          <cell r="J4">
            <v>2920</v>
          </cell>
          <cell r="K4" t="str">
            <v>0.1980.130.2890.3830.2980.1450.294</v>
          </cell>
          <cell r="L4">
            <v>3</v>
          </cell>
          <cell r="M4">
            <v>3</v>
          </cell>
        </row>
        <row r="5">
          <cell r="A5" t="str">
            <v>Residential Refrigerator</v>
          </cell>
          <cell r="B5">
            <v>4</v>
          </cell>
          <cell r="C5">
            <v>0.22500000000000001</v>
          </cell>
          <cell r="D5">
            <v>0.108</v>
          </cell>
          <cell r="E5">
            <v>0.33700000000000002</v>
          </cell>
          <cell r="F5">
            <v>0.33</v>
          </cell>
          <cell r="G5">
            <v>0.623</v>
          </cell>
          <cell r="H5">
            <v>0.6</v>
          </cell>
          <cell r="I5">
            <v>0.56799999999999995</v>
          </cell>
          <cell r="J5">
            <v>5000</v>
          </cell>
          <cell r="K5" t="str">
            <v>0.2250.1080.3370.330.6230.60.568</v>
          </cell>
          <cell r="L5">
            <v>4</v>
          </cell>
          <cell r="M5">
            <v>4</v>
          </cell>
        </row>
        <row r="6">
          <cell r="A6" t="str">
            <v>Residential Space heat</v>
          </cell>
          <cell r="B6">
            <v>5</v>
          </cell>
          <cell r="C6">
            <v>0.45500000000000002</v>
          </cell>
          <cell r="D6">
            <v>0.24299999999999999</v>
          </cell>
          <cell r="E6">
            <v>0.16700000000000001</v>
          </cell>
          <cell r="F6">
            <v>0.13500000000000001</v>
          </cell>
          <cell r="G6">
            <v>0.26900000000000002</v>
          </cell>
          <cell r="H6">
            <v>0</v>
          </cell>
          <cell r="I6">
            <v>9.8000000000000004E-2</v>
          </cell>
          <cell r="J6">
            <v>841</v>
          </cell>
          <cell r="K6" t="str">
            <v>0.4550.2430.1670.1350.26900.098</v>
          </cell>
          <cell r="L6">
            <v>5</v>
          </cell>
          <cell r="M6">
            <v>5</v>
          </cell>
        </row>
        <row r="7">
          <cell r="A7" t="str">
            <v>Residential DHW fuel switch</v>
          </cell>
          <cell r="B7">
            <v>6</v>
          </cell>
          <cell r="C7">
            <v>0.316</v>
          </cell>
          <cell r="D7">
            <v>6.2E-2</v>
          </cell>
          <cell r="E7">
            <v>0.371</v>
          </cell>
          <cell r="F7">
            <v>0.251</v>
          </cell>
          <cell r="G7">
            <v>0.45400000000000001</v>
          </cell>
          <cell r="H7">
            <v>0.28999999999999998</v>
          </cell>
          <cell r="I7">
            <v>0.441</v>
          </cell>
          <cell r="J7">
            <v>2533.3333333333335</v>
          </cell>
          <cell r="K7" t="str">
            <v>0.3160.0620.3710.2510.4540.290.441</v>
          </cell>
          <cell r="L7">
            <v>6</v>
          </cell>
          <cell r="M7">
            <v>6</v>
          </cell>
        </row>
        <row r="8">
          <cell r="A8" t="str">
            <v>Residential DHW insulation</v>
          </cell>
          <cell r="B8">
            <v>7</v>
          </cell>
          <cell r="C8">
            <v>0.223</v>
          </cell>
          <cell r="D8">
            <v>0.111</v>
          </cell>
          <cell r="E8">
            <v>0.33300000000000002</v>
          </cell>
          <cell r="F8">
            <v>0.33300000000000002</v>
          </cell>
          <cell r="G8">
            <v>1</v>
          </cell>
          <cell r="H8">
            <v>1</v>
          </cell>
          <cell r="I8">
            <v>1</v>
          </cell>
          <cell r="J8">
            <v>8760</v>
          </cell>
          <cell r="K8" t="str">
            <v>0.2230.1110.3330.333111</v>
          </cell>
          <cell r="L8">
            <v>7</v>
          </cell>
          <cell r="M8">
            <v>7</v>
          </cell>
        </row>
        <row r="9">
          <cell r="A9" t="str">
            <v>Residential DHW conserve</v>
          </cell>
          <cell r="B9">
            <v>8</v>
          </cell>
          <cell r="C9">
            <v>0.28399999999999997</v>
          </cell>
          <cell r="D9">
            <v>3.1E-2</v>
          </cell>
          <cell r="E9">
            <v>0.46500000000000002</v>
          </cell>
          <cell r="F9">
            <v>0.22</v>
          </cell>
          <cell r="G9">
            <v>0.77500000000000002</v>
          </cell>
          <cell r="H9">
            <v>0.48099999999999998</v>
          </cell>
          <cell r="I9">
            <v>0.64900000000000002</v>
          </cell>
          <cell r="J9">
            <v>3427.0588235294113</v>
          </cell>
          <cell r="K9" t="str">
            <v>0.2840.0310.4650.220.7750.4810.649</v>
          </cell>
          <cell r="L9">
            <v>8</v>
          </cell>
          <cell r="M9">
            <v>8</v>
          </cell>
        </row>
        <row r="10">
          <cell r="A10" t="str">
            <v>Residential Clothes Washer</v>
          </cell>
          <cell r="B10">
            <v>9</v>
          </cell>
          <cell r="C10">
            <v>0.34200000000000003</v>
          </cell>
          <cell r="D10">
            <v>3.6999999999999998E-2</v>
          </cell>
          <cell r="E10">
            <v>0.42</v>
          </cell>
          <cell r="F10">
            <v>0.20100000000000001</v>
          </cell>
          <cell r="G10">
            <v>7.2999999999999995E-2</v>
          </cell>
          <cell r="H10">
            <v>5.3999999999999999E-2</v>
          </cell>
          <cell r="I10">
            <v>6.1254044539795729E-2</v>
          </cell>
          <cell r="J10">
            <v>361</v>
          </cell>
          <cell r="K10" t="str">
            <v>0.3420.0370.420.2010.0730.0540.06125</v>
          </cell>
          <cell r="L10">
            <v>9</v>
          </cell>
          <cell r="M10">
            <v>9</v>
          </cell>
        </row>
        <row r="11">
          <cell r="A11" t="str">
            <v>Residential Ventilation</v>
          </cell>
          <cell r="B11">
            <v>10</v>
          </cell>
          <cell r="C11">
            <v>0.221</v>
          </cell>
          <cell r="D11">
            <v>0.111</v>
          </cell>
          <cell r="E11">
            <v>0.318</v>
          </cell>
          <cell r="F11">
            <v>0.35</v>
          </cell>
          <cell r="G11">
            <v>0.32200000000000001</v>
          </cell>
          <cell r="H11">
            <v>0.32200000000000001</v>
          </cell>
          <cell r="I11">
            <v>0.32153729071537296</v>
          </cell>
          <cell r="J11">
            <v>2816.666666666667</v>
          </cell>
          <cell r="K11" t="str">
            <v>0.2210.1110.3180.350.3220.3220.32154</v>
          </cell>
          <cell r="L11">
            <v>10</v>
          </cell>
          <cell r="M11">
            <v>10</v>
          </cell>
        </row>
        <row r="12">
          <cell r="A12" t="str">
            <v>Residential A/C</v>
          </cell>
          <cell r="B12">
            <v>11</v>
          </cell>
          <cell r="C12">
            <v>0</v>
          </cell>
          <cell r="D12">
            <v>0</v>
          </cell>
          <cell r="E12">
            <v>0.5</v>
          </cell>
          <cell r="F12">
            <v>0.5</v>
          </cell>
          <cell r="G12">
            <v>0</v>
          </cell>
          <cell r="H12">
            <v>0.6</v>
          </cell>
          <cell r="I12">
            <v>0</v>
          </cell>
          <cell r="J12">
            <v>200</v>
          </cell>
          <cell r="K12" t="str">
            <v>000.50.500.60</v>
          </cell>
          <cell r="L12">
            <v>11</v>
          </cell>
          <cell r="M12">
            <v>11</v>
          </cell>
        </row>
        <row r="13">
          <cell r="A13" t="str">
            <v>Commercial Indoor Lighting</v>
          </cell>
          <cell r="B13">
            <v>12</v>
          </cell>
          <cell r="C13">
            <v>0.27700000000000002</v>
          </cell>
          <cell r="D13">
            <v>5.3999999999999999E-2</v>
          </cell>
          <cell r="E13">
            <v>0.42099999999999999</v>
          </cell>
          <cell r="F13">
            <v>0.248</v>
          </cell>
          <cell r="G13">
            <v>0.67200000000000004</v>
          </cell>
          <cell r="H13">
            <v>0.72</v>
          </cell>
          <cell r="I13">
            <v>0.61799999999999999</v>
          </cell>
          <cell r="J13">
            <v>3500</v>
          </cell>
          <cell r="K13" t="str">
            <v>0.2770.0540.4210.2480.6720.720.618</v>
          </cell>
          <cell r="L13">
            <v>12</v>
          </cell>
          <cell r="M13" t="str">
            <v>12a</v>
          </cell>
        </row>
        <row r="14">
          <cell r="A14" t="str">
            <v>Commercial Outdoor Lighting</v>
          </cell>
          <cell r="B14">
            <v>13</v>
          </cell>
          <cell r="C14">
            <v>0.19900000000000001</v>
          </cell>
          <cell r="D14">
            <v>0.13200000000000001</v>
          </cell>
          <cell r="E14">
            <v>0.30299999999999999</v>
          </cell>
          <cell r="F14">
            <v>0.36599999999999999</v>
          </cell>
          <cell r="G14">
            <v>0.35</v>
          </cell>
          <cell r="H14">
            <v>0.152</v>
          </cell>
          <cell r="I14">
            <v>0.35</v>
          </cell>
          <cell r="J14">
            <v>3059.0476190476188</v>
          </cell>
          <cell r="K14" t="str">
            <v>0.1990.1320.3030.3660.350.1520.35</v>
          </cell>
          <cell r="L14">
            <v>13</v>
          </cell>
          <cell r="M14">
            <v>13</v>
          </cell>
        </row>
        <row r="15">
          <cell r="A15" t="str">
            <v>Commercial Refrigeration</v>
          </cell>
          <cell r="B15">
            <v>14</v>
          </cell>
          <cell r="C15">
            <v>0.19700000000000001</v>
          </cell>
          <cell r="D15">
            <v>9.5000000000000001E-2</v>
          </cell>
          <cell r="E15">
            <v>0.35899999999999999</v>
          </cell>
          <cell r="F15">
            <v>0.34899999999999998</v>
          </cell>
          <cell r="G15">
            <v>0.59499999999999997</v>
          </cell>
          <cell r="H15">
            <v>0.85799999999999998</v>
          </cell>
          <cell r="I15">
            <v>0.63400000000000001</v>
          </cell>
          <cell r="J15">
            <v>5857.8688524590161</v>
          </cell>
          <cell r="K15" t="str">
            <v>0.1970.0950.3590.3490.5950.8580.634</v>
          </cell>
          <cell r="L15">
            <v>14</v>
          </cell>
          <cell r="M15">
            <v>14</v>
          </cell>
        </row>
        <row r="16">
          <cell r="A16" t="str">
            <v>Commercial A/C</v>
          </cell>
          <cell r="B16">
            <v>15</v>
          </cell>
          <cell r="C16">
            <v>3.0000000000000001E-3</v>
          </cell>
          <cell r="D16">
            <v>1E-3</v>
          </cell>
          <cell r="E16">
            <v>0.51800000000000002</v>
          </cell>
          <cell r="F16">
            <v>0.47799999999999998</v>
          </cell>
          <cell r="G16">
            <v>3.0000000000000001E-3</v>
          </cell>
          <cell r="H16">
            <v>0.8</v>
          </cell>
          <cell r="I16">
            <v>0.40200000000000002</v>
          </cell>
          <cell r="J16">
            <v>1000</v>
          </cell>
          <cell r="K16" t="str">
            <v>0.0030.0010.5180.4780.0030.80.402</v>
          </cell>
          <cell r="L16">
            <v>15</v>
          </cell>
          <cell r="M16" t="str">
            <v>15a</v>
          </cell>
        </row>
        <row r="17">
          <cell r="A17" t="str">
            <v>Commercial Ventilation motor</v>
          </cell>
          <cell r="B17">
            <v>16</v>
          </cell>
          <cell r="C17">
            <v>0.16900000000000001</v>
          </cell>
          <cell r="D17">
            <v>7.5999999999999998E-2</v>
          </cell>
          <cell r="E17">
            <v>0.372</v>
          </cell>
          <cell r="F17">
            <v>0.38300000000000001</v>
          </cell>
          <cell r="G17">
            <v>0.36499999999999999</v>
          </cell>
          <cell r="H17">
            <v>0.47499999999999998</v>
          </cell>
          <cell r="I17">
            <v>0.42</v>
          </cell>
          <cell r="J17">
            <v>4500</v>
          </cell>
          <cell r="K17" t="str">
            <v>0.1690.0760.3720.3830.3650.4750.42</v>
          </cell>
          <cell r="L17">
            <v>16</v>
          </cell>
          <cell r="M17">
            <v>16</v>
          </cell>
        </row>
        <row r="18">
          <cell r="A18" t="str">
            <v>Commercial Space heat</v>
          </cell>
          <cell r="B18">
            <v>17</v>
          </cell>
          <cell r="C18">
            <v>0.443</v>
          </cell>
          <cell r="D18">
            <v>0.378</v>
          </cell>
          <cell r="E18">
            <v>6.9000000000000006E-2</v>
          </cell>
          <cell r="F18">
            <v>0.11</v>
          </cell>
          <cell r="G18">
            <v>0.372</v>
          </cell>
          <cell r="H18">
            <v>3.0000000000000001E-3</v>
          </cell>
          <cell r="I18">
            <v>0.193</v>
          </cell>
          <cell r="J18">
            <v>1417</v>
          </cell>
          <cell r="K18" t="str">
            <v>0.4430.3780.0690.110.3720.0030.193</v>
          </cell>
          <cell r="L18">
            <v>17</v>
          </cell>
          <cell r="M18">
            <v>17</v>
          </cell>
        </row>
        <row r="19">
          <cell r="A19" t="str">
            <v>Industrial Indoor Lighting</v>
          </cell>
          <cell r="B19">
            <v>18</v>
          </cell>
          <cell r="C19">
            <v>0.27700000000000002</v>
          </cell>
          <cell r="D19">
            <v>5.3999999999999999E-2</v>
          </cell>
          <cell r="E19">
            <v>0.42099999999999999</v>
          </cell>
          <cell r="F19">
            <v>0.248</v>
          </cell>
          <cell r="G19">
            <v>0.92200000000000004</v>
          </cell>
          <cell r="H19">
            <v>0.94899999999999995</v>
          </cell>
          <cell r="I19">
            <v>0.92200000000000004</v>
          </cell>
          <cell r="J19">
            <v>5913.4319526627214</v>
          </cell>
          <cell r="K19" t="str">
            <v>0.2770.0540.4210.2480.9220.9490.922</v>
          </cell>
          <cell r="L19">
            <v>18</v>
          </cell>
          <cell r="M19">
            <v>18</v>
          </cell>
        </row>
        <row r="20">
          <cell r="A20" t="str">
            <v>Industrial Outdoor Lighting</v>
          </cell>
          <cell r="B20">
            <v>19</v>
          </cell>
          <cell r="C20">
            <v>0.19900000000000001</v>
          </cell>
          <cell r="D20">
            <v>0.13300000000000001</v>
          </cell>
          <cell r="E20">
            <v>0.30199999999999999</v>
          </cell>
          <cell r="F20">
            <v>0.36599999999999999</v>
          </cell>
          <cell r="G20">
            <v>0.35</v>
          </cell>
          <cell r="H20">
            <v>0.152</v>
          </cell>
          <cell r="I20">
            <v>0.35</v>
          </cell>
          <cell r="J20">
            <v>3059.0476190476188</v>
          </cell>
          <cell r="K20" t="str">
            <v>0.1990.1330.3020.3660.350.1520.35</v>
          </cell>
          <cell r="L20">
            <v>19</v>
          </cell>
          <cell r="M20">
            <v>19</v>
          </cell>
        </row>
        <row r="21">
          <cell r="A21" t="str">
            <v>Industrial A/C</v>
          </cell>
          <cell r="B21">
            <v>20</v>
          </cell>
          <cell r="C21">
            <v>3.0000000000000001E-3</v>
          </cell>
          <cell r="D21">
            <v>1E-3</v>
          </cell>
          <cell r="E21">
            <v>0.51800000000000002</v>
          </cell>
          <cell r="F21">
            <v>0.47799999999999998</v>
          </cell>
          <cell r="G21">
            <v>3.0000000000000001E-3</v>
          </cell>
          <cell r="H21">
            <v>0.8</v>
          </cell>
          <cell r="I21">
            <v>0.40200000000000002</v>
          </cell>
          <cell r="J21">
            <v>1000</v>
          </cell>
          <cell r="K21" t="str">
            <v>0.0030.0010.5180.4780.0030.80.402</v>
          </cell>
          <cell r="L21">
            <v>20</v>
          </cell>
          <cell r="M21" t="str">
            <v>20a</v>
          </cell>
        </row>
        <row r="22">
          <cell r="A22" t="str">
            <v>Industrial Motor</v>
          </cell>
          <cell r="B22">
            <v>21</v>
          </cell>
          <cell r="C22">
            <v>0.29199999999999998</v>
          </cell>
          <cell r="D22">
            <v>4.2000000000000003E-2</v>
          </cell>
          <cell r="E22">
            <v>0.58299999999999996</v>
          </cell>
          <cell r="F22">
            <v>8.3000000000000004E-2</v>
          </cell>
          <cell r="G22">
            <v>0.65700000000000003</v>
          </cell>
          <cell r="H22">
            <v>0.9</v>
          </cell>
          <cell r="I22">
            <v>0.65700000000000003</v>
          </cell>
          <cell r="J22">
            <v>4500</v>
          </cell>
          <cell r="K22" t="str">
            <v>0.2920.0420.5830.0830.6570.90.657</v>
          </cell>
          <cell r="L22">
            <v>21</v>
          </cell>
          <cell r="M22">
            <v>21</v>
          </cell>
        </row>
        <row r="23">
          <cell r="A23" t="str">
            <v>Industrial Space heat</v>
          </cell>
          <cell r="B23">
            <v>22</v>
          </cell>
          <cell r="C23">
            <v>0.443</v>
          </cell>
          <cell r="D23">
            <v>0.378</v>
          </cell>
          <cell r="E23">
            <v>6.9000000000000006E-2</v>
          </cell>
          <cell r="F23">
            <v>0.11</v>
          </cell>
          <cell r="G23">
            <v>0.372</v>
          </cell>
          <cell r="H23">
            <v>3.0000000000000001E-3</v>
          </cell>
          <cell r="I23">
            <v>0.193</v>
          </cell>
          <cell r="J23">
            <v>1417</v>
          </cell>
          <cell r="K23" t="str">
            <v>0.4430.3780.0690.110.3720.0030.193</v>
          </cell>
          <cell r="L23">
            <v>22</v>
          </cell>
          <cell r="M23">
            <v>22</v>
          </cell>
        </row>
        <row r="24">
          <cell r="A24" t="str">
            <v>Industrial Process</v>
          </cell>
          <cell r="B24">
            <v>23</v>
          </cell>
          <cell r="C24">
            <v>0.29199999999999998</v>
          </cell>
          <cell r="D24">
            <v>4.2000000000000003E-2</v>
          </cell>
          <cell r="E24">
            <v>0.58299999999999996</v>
          </cell>
          <cell r="F24">
            <v>8.3000000000000004E-2</v>
          </cell>
          <cell r="G24">
            <v>0.65700000000000003</v>
          </cell>
          <cell r="H24">
            <v>0.9</v>
          </cell>
          <cell r="I24">
            <v>0.65700000000000003</v>
          </cell>
          <cell r="J24">
            <v>4160</v>
          </cell>
          <cell r="K24" t="str">
            <v>0.2920.0420.5830.0830.6570.90.657</v>
          </cell>
          <cell r="L24">
            <v>23</v>
          </cell>
          <cell r="M24">
            <v>23</v>
          </cell>
        </row>
        <row r="25">
          <cell r="A25" t="str">
            <v>Dairy Farm Combined End Uses</v>
          </cell>
          <cell r="B25">
            <v>24</v>
          </cell>
          <cell r="C25">
            <v>0.30199999999999999</v>
          </cell>
          <cell r="D25">
            <v>6.3E-2</v>
          </cell>
          <cell r="E25">
            <v>0.39900000000000002</v>
          </cell>
          <cell r="F25">
            <v>0.23599999999999999</v>
          </cell>
          <cell r="G25">
            <v>0.42699999999999999</v>
          </cell>
          <cell r="H25">
            <v>0.223</v>
          </cell>
          <cell r="I25">
            <v>0.37</v>
          </cell>
          <cell r="J25">
            <v>2679.3062528525788</v>
          </cell>
          <cell r="K25" t="str">
            <v>0.3020.0630.3990.2360.4270.2230.37</v>
          </cell>
          <cell r="L25">
            <v>24</v>
          </cell>
          <cell r="M25">
            <v>24</v>
          </cell>
        </row>
        <row r="26">
          <cell r="A26" t="str">
            <v>Flat (8760 hours)</v>
          </cell>
          <cell r="B26">
            <v>25</v>
          </cell>
          <cell r="C26">
            <v>0.22</v>
          </cell>
          <cell r="D26">
            <v>0.11</v>
          </cell>
          <cell r="E26">
            <v>0.32</v>
          </cell>
          <cell r="F26">
            <v>0.35</v>
          </cell>
          <cell r="G26">
            <v>1</v>
          </cell>
          <cell r="H26">
            <v>1</v>
          </cell>
          <cell r="I26">
            <v>1</v>
          </cell>
          <cell r="J26">
            <v>8760</v>
          </cell>
          <cell r="K26" t="str">
            <v>0.220.110.320.35111</v>
          </cell>
          <cell r="L26">
            <v>25</v>
          </cell>
          <cell r="M26">
            <v>25</v>
          </cell>
        </row>
        <row r="27">
          <cell r="A27" t="str">
            <v>HVAC Pump Motor (heating)</v>
          </cell>
          <cell r="B27">
            <v>26</v>
          </cell>
          <cell r="C27">
            <v>0.38100000000000001</v>
          </cell>
          <cell r="D27">
            <v>0.19</v>
          </cell>
          <cell r="E27">
            <v>0.20399999999999999</v>
          </cell>
          <cell r="F27">
            <v>0.22500000000000001</v>
          </cell>
          <cell r="G27">
            <v>1</v>
          </cell>
          <cell r="H27">
            <v>0</v>
          </cell>
          <cell r="I27">
            <v>0.79700000000000004</v>
          </cell>
          <cell r="J27">
            <v>3389</v>
          </cell>
          <cell r="K27" t="str">
            <v>0.3810.190.2040.225100.797</v>
          </cell>
          <cell r="L27">
            <v>26</v>
          </cell>
          <cell r="M27">
            <v>26</v>
          </cell>
        </row>
        <row r="28">
          <cell r="A28" t="str">
            <v>HVAC Pump Motor (cooling)</v>
          </cell>
          <cell r="B28">
            <v>27</v>
          </cell>
          <cell r="C28">
            <v>0</v>
          </cell>
          <cell r="D28">
            <v>0</v>
          </cell>
          <cell r="E28">
            <v>0.47599999999999998</v>
          </cell>
          <cell r="F28">
            <v>0.52400000000000002</v>
          </cell>
          <cell r="G28">
            <v>0</v>
          </cell>
          <cell r="H28">
            <v>1</v>
          </cell>
          <cell r="I28">
            <v>0.39900000000000002</v>
          </cell>
          <cell r="J28">
            <v>2115</v>
          </cell>
          <cell r="K28" t="str">
            <v>000.4760.524010.399</v>
          </cell>
          <cell r="L28">
            <v>27</v>
          </cell>
          <cell r="M28">
            <v>27</v>
          </cell>
        </row>
        <row r="29">
          <cell r="A29" t="str">
            <v>HVAC Pump Motor (unknown use)</v>
          </cell>
          <cell r="B29">
            <v>28</v>
          </cell>
          <cell r="C29">
            <v>0.19</v>
          </cell>
          <cell r="D29">
            <v>9.5000000000000001E-2</v>
          </cell>
          <cell r="E29">
            <v>0.34</v>
          </cell>
          <cell r="F29">
            <v>0.375</v>
          </cell>
          <cell r="G29">
            <v>0.5</v>
          </cell>
          <cell r="H29">
            <v>0.5</v>
          </cell>
          <cell r="I29">
            <v>0.59799999999999998</v>
          </cell>
          <cell r="J29">
            <v>2513</v>
          </cell>
          <cell r="K29" t="str">
            <v>0.190.0950.340.3750.50.50.598</v>
          </cell>
          <cell r="L29">
            <v>28</v>
          </cell>
          <cell r="M29">
            <v>28</v>
          </cell>
        </row>
        <row r="30">
          <cell r="A30" t="str">
            <v>Traffic Signal - Red Balls, always changing or flashing</v>
          </cell>
          <cell r="B30">
            <v>29</v>
          </cell>
          <cell r="C30">
            <v>0.221</v>
          </cell>
          <cell r="D30">
            <v>0.111</v>
          </cell>
          <cell r="E30">
            <v>0.318</v>
          </cell>
          <cell r="F30">
            <v>0.35</v>
          </cell>
          <cell r="G30">
            <v>0.55000000000000004</v>
          </cell>
          <cell r="H30">
            <v>0.55000000000000004</v>
          </cell>
          <cell r="I30">
            <v>0.55000000000000004</v>
          </cell>
          <cell r="J30">
            <v>4818</v>
          </cell>
          <cell r="K30" t="str">
            <v>0.2210.1110.3180.350.550.550.55</v>
          </cell>
          <cell r="L30">
            <v>29</v>
          </cell>
          <cell r="M30">
            <v>29</v>
          </cell>
        </row>
        <row r="31">
          <cell r="A31" t="str">
            <v>Traffic Signal - Red Balls, changing day, off night</v>
          </cell>
          <cell r="B31">
            <v>30</v>
          </cell>
          <cell r="C31">
            <v>0.33200000000000002</v>
          </cell>
          <cell r="D31">
            <v>0</v>
          </cell>
          <cell r="E31">
            <v>0.47699999999999998</v>
          </cell>
          <cell r="F31">
            <v>0.191</v>
          </cell>
          <cell r="G31">
            <v>0.55000000000000004</v>
          </cell>
          <cell r="H31">
            <v>0.55000000000000004</v>
          </cell>
          <cell r="I31">
            <v>0.55000000000000004</v>
          </cell>
          <cell r="J31">
            <v>3011</v>
          </cell>
          <cell r="K31" t="str">
            <v>0.33200.4770.1910.550.550.55</v>
          </cell>
          <cell r="L31">
            <v>30</v>
          </cell>
          <cell r="M31">
            <v>30</v>
          </cell>
        </row>
        <row r="32">
          <cell r="A32" t="str">
            <v>Traffic Signal - Green Balls, always changing</v>
          </cell>
          <cell r="B32">
            <v>31</v>
          </cell>
          <cell r="C32">
            <v>0.221</v>
          </cell>
          <cell r="D32">
            <v>0.111</v>
          </cell>
          <cell r="E32">
            <v>0.318</v>
          </cell>
          <cell r="F32">
            <v>0.35</v>
          </cell>
          <cell r="G32">
            <v>0.42</v>
          </cell>
          <cell r="H32">
            <v>0.42</v>
          </cell>
          <cell r="I32">
            <v>0.42</v>
          </cell>
          <cell r="J32">
            <v>3679</v>
          </cell>
          <cell r="K32" t="str">
            <v>0.2210.1110.3180.350.420.420.42</v>
          </cell>
          <cell r="L32">
            <v>31</v>
          </cell>
          <cell r="M32">
            <v>31</v>
          </cell>
        </row>
        <row r="33">
          <cell r="A33" t="str">
            <v>Traffic Signal - Green Balls, changing day, off night</v>
          </cell>
          <cell r="B33">
            <v>32</v>
          </cell>
          <cell r="C33">
            <v>0.33200000000000002</v>
          </cell>
          <cell r="D33">
            <v>0</v>
          </cell>
          <cell r="E33">
            <v>0.47699999999999998</v>
          </cell>
          <cell r="F33">
            <v>0.191</v>
          </cell>
          <cell r="G33">
            <v>0.42</v>
          </cell>
          <cell r="H33">
            <v>0.42</v>
          </cell>
          <cell r="I33">
            <v>0.42</v>
          </cell>
          <cell r="J33">
            <v>2300</v>
          </cell>
          <cell r="K33" t="str">
            <v>0.33200.4770.1910.420.420.42</v>
          </cell>
          <cell r="L33">
            <v>32</v>
          </cell>
          <cell r="M33">
            <v>32</v>
          </cell>
        </row>
        <row r="34">
          <cell r="A34" t="str">
            <v>Traffic Signal - Red Arrows</v>
          </cell>
          <cell r="B34">
            <v>33</v>
          </cell>
          <cell r="C34">
            <v>0.221</v>
          </cell>
          <cell r="D34">
            <v>0.111</v>
          </cell>
          <cell r="E34">
            <v>0.318</v>
          </cell>
          <cell r="F34">
            <v>0.35</v>
          </cell>
          <cell r="G34">
            <v>0.9</v>
          </cell>
          <cell r="H34">
            <v>0.9</v>
          </cell>
          <cell r="I34">
            <v>0.9</v>
          </cell>
          <cell r="J34">
            <v>7884</v>
          </cell>
          <cell r="K34" t="str">
            <v>0.2210.1110.3180.350.90.90.9</v>
          </cell>
          <cell r="L34">
            <v>33</v>
          </cell>
          <cell r="M34">
            <v>33</v>
          </cell>
        </row>
        <row r="35">
          <cell r="A35" t="str">
            <v>Traffic Signal - Green Arrows</v>
          </cell>
          <cell r="B35">
            <v>34</v>
          </cell>
          <cell r="C35">
            <v>0.221</v>
          </cell>
          <cell r="D35">
            <v>0.111</v>
          </cell>
          <cell r="E35">
            <v>0.318</v>
          </cell>
          <cell r="F35">
            <v>0.35</v>
          </cell>
          <cell r="G35">
            <v>0.1</v>
          </cell>
          <cell r="H35">
            <v>0.1</v>
          </cell>
          <cell r="I35">
            <v>0.1</v>
          </cell>
          <cell r="J35">
            <v>876</v>
          </cell>
          <cell r="K35" t="str">
            <v>0.2210.1110.3180.350.10.10.1</v>
          </cell>
          <cell r="L35">
            <v>34</v>
          </cell>
          <cell r="M35">
            <v>34</v>
          </cell>
        </row>
        <row r="36">
          <cell r="A36" t="str">
            <v>Traffic Signal - Flashing Yellows</v>
          </cell>
          <cell r="B36">
            <v>35</v>
          </cell>
          <cell r="C36">
            <v>0.221</v>
          </cell>
          <cell r="D36">
            <v>0.111</v>
          </cell>
          <cell r="E36">
            <v>0.318</v>
          </cell>
          <cell r="F36">
            <v>0.35</v>
          </cell>
          <cell r="G36">
            <v>0.5</v>
          </cell>
          <cell r="H36">
            <v>0.5</v>
          </cell>
          <cell r="I36">
            <v>0.5</v>
          </cell>
          <cell r="J36">
            <v>4380</v>
          </cell>
          <cell r="K36" t="str">
            <v>0.2210.1110.3180.350.50.50.5</v>
          </cell>
          <cell r="L36">
            <v>35</v>
          </cell>
          <cell r="M36">
            <v>35</v>
          </cell>
        </row>
        <row r="37">
          <cell r="A37" t="str">
            <v>Traffic Signal - “Hand” Don’t Walk Signal</v>
          </cell>
          <cell r="B37">
            <v>36</v>
          </cell>
          <cell r="C37">
            <v>0.221</v>
          </cell>
          <cell r="D37">
            <v>0.111</v>
          </cell>
          <cell r="E37">
            <v>0.318</v>
          </cell>
          <cell r="F37">
            <v>0.35</v>
          </cell>
          <cell r="G37">
            <v>0.75</v>
          </cell>
          <cell r="H37">
            <v>0.75</v>
          </cell>
          <cell r="I37">
            <v>0.75</v>
          </cell>
          <cell r="J37">
            <v>6570</v>
          </cell>
          <cell r="K37" t="str">
            <v>0.2210.1110.3180.350.750.750.75</v>
          </cell>
          <cell r="L37">
            <v>36</v>
          </cell>
          <cell r="M37">
            <v>36</v>
          </cell>
        </row>
        <row r="38">
          <cell r="A38" t="str">
            <v>Traffic Signal - “Man” Walk Signal</v>
          </cell>
          <cell r="B38">
            <v>37</v>
          </cell>
          <cell r="C38">
            <v>0.221</v>
          </cell>
          <cell r="D38">
            <v>0.111</v>
          </cell>
          <cell r="E38">
            <v>0.318</v>
          </cell>
          <cell r="F38">
            <v>0.35</v>
          </cell>
          <cell r="G38">
            <v>0.21</v>
          </cell>
          <cell r="H38">
            <v>0.21</v>
          </cell>
          <cell r="I38">
            <v>0.21</v>
          </cell>
          <cell r="J38">
            <v>1840</v>
          </cell>
          <cell r="K38" t="str">
            <v>0.2210.1110.3180.350.210.210.21</v>
          </cell>
          <cell r="L38">
            <v>37</v>
          </cell>
          <cell r="M38">
            <v>37</v>
          </cell>
        </row>
        <row r="39">
          <cell r="A39" t="str">
            <v>Commercial Heat Pump 0-65 kBTUh</v>
          </cell>
          <cell r="B39">
            <v>38</v>
          </cell>
          <cell r="C39">
            <v>0.312</v>
          </cell>
          <cell r="D39">
            <v>0.26600000000000001</v>
          </cell>
          <cell r="E39">
            <v>0.20200000000000001</v>
          </cell>
          <cell r="F39">
            <v>0.22</v>
          </cell>
          <cell r="G39">
            <v>0.375</v>
          </cell>
          <cell r="H39">
            <v>0.748</v>
          </cell>
          <cell r="I39">
            <v>0.56699999999999995</v>
          </cell>
          <cell r="J39">
            <v>2276.6278789472535</v>
          </cell>
          <cell r="K39" t="str">
            <v>0.3120.2660.2020.220.3750.7480.567</v>
          </cell>
          <cell r="L39">
            <v>38</v>
          </cell>
          <cell r="M39" t="str">
            <v>38a</v>
          </cell>
        </row>
        <row r="40">
          <cell r="A40" t="str">
            <v>Commercial Heat Pump 65-375 kBTUh</v>
          </cell>
          <cell r="B40">
            <v>39</v>
          </cell>
          <cell r="C40">
            <v>0.29599999999999999</v>
          </cell>
          <cell r="D40">
            <v>0.252</v>
          </cell>
          <cell r="E40">
            <v>0.219</v>
          </cell>
          <cell r="F40">
            <v>0.23300000000000001</v>
          </cell>
          <cell r="G40">
            <v>0.375</v>
          </cell>
          <cell r="H40">
            <v>0.80300000000000005</v>
          </cell>
          <cell r="I40">
            <v>0.59499999999999997</v>
          </cell>
          <cell r="J40">
            <v>2400</v>
          </cell>
          <cell r="K40" t="str">
            <v>0.2960.2520.2190.2330.3750.8030.595</v>
          </cell>
          <cell r="L40">
            <v>39</v>
          </cell>
          <cell r="M40" t="str">
            <v>39a</v>
          </cell>
        </row>
        <row r="41">
          <cell r="A41" t="str">
            <v xml:space="preserve">Commercial PTHP </v>
          </cell>
          <cell r="B41">
            <v>40</v>
          </cell>
          <cell r="C41">
            <v>0.29499999999999998</v>
          </cell>
          <cell r="D41">
            <v>0.251</v>
          </cell>
          <cell r="E41">
            <v>0.22</v>
          </cell>
          <cell r="F41">
            <v>0.23400000000000001</v>
          </cell>
          <cell r="G41">
            <v>0.375</v>
          </cell>
          <cell r="H41">
            <v>0.80300000000000005</v>
          </cell>
          <cell r="I41">
            <v>0.59499999999999997</v>
          </cell>
          <cell r="J41">
            <v>2470</v>
          </cell>
          <cell r="K41" t="str">
            <v>0.2950.2510.220.2340.3750.8030.595</v>
          </cell>
          <cell r="L41">
            <v>40</v>
          </cell>
          <cell r="M41" t="str">
            <v>40a</v>
          </cell>
        </row>
        <row r="42">
          <cell r="A42" t="str">
            <v xml:space="preserve">Commercial Water-Source Heat Pump </v>
          </cell>
          <cell r="B42">
            <v>41</v>
          </cell>
          <cell r="C42">
            <v>0.23100000000000001</v>
          </cell>
          <cell r="D42">
            <v>0.19700000000000001</v>
          </cell>
          <cell r="E42">
            <v>0.28499999999999998</v>
          </cell>
          <cell r="F42">
            <v>0.28699999999999998</v>
          </cell>
          <cell r="G42">
            <v>0.375</v>
          </cell>
          <cell r="H42">
            <v>0.80300000000000005</v>
          </cell>
          <cell r="I42">
            <v>0.59499999999999997</v>
          </cell>
          <cell r="J42">
            <v>4336</v>
          </cell>
          <cell r="K42" t="str">
            <v>0.2310.1970.2850.2870.3750.8030.595</v>
          </cell>
          <cell r="L42">
            <v>41</v>
          </cell>
          <cell r="M42" t="str">
            <v>41a</v>
          </cell>
        </row>
        <row r="43">
          <cell r="A43" t="str">
            <v>Transformer</v>
          </cell>
          <cell r="B43">
            <v>42</v>
          </cell>
          <cell r="C43">
            <v>0.28000000000000003</v>
          </cell>
          <cell r="D43">
            <v>0.05</v>
          </cell>
          <cell r="E43">
            <v>0.42</v>
          </cell>
          <cell r="F43">
            <v>0.25</v>
          </cell>
          <cell r="G43">
            <v>1</v>
          </cell>
          <cell r="H43">
            <v>1</v>
          </cell>
          <cell r="I43">
            <v>1</v>
          </cell>
          <cell r="J43">
            <v>8760</v>
          </cell>
          <cell r="K43" t="str">
            <v>0.280.050.420.25111</v>
          </cell>
          <cell r="L43">
            <v>42</v>
          </cell>
          <cell r="M43">
            <v>42</v>
          </cell>
        </row>
        <row r="44">
          <cell r="A44" t="str">
            <v>Vending Miser</v>
          </cell>
          <cell r="B44">
            <v>43</v>
          </cell>
          <cell r="C44">
            <v>6.6000000000000003E-2</v>
          </cell>
          <cell r="D44">
            <v>0.26500000000000001</v>
          </cell>
          <cell r="E44">
            <v>9.6000000000000002E-2</v>
          </cell>
          <cell r="F44">
            <v>0.57299999999999995</v>
          </cell>
          <cell r="G44">
            <v>0</v>
          </cell>
          <cell r="H44">
            <v>0</v>
          </cell>
          <cell r="I44">
            <v>0</v>
          </cell>
          <cell r="J44">
            <v>3650</v>
          </cell>
          <cell r="K44" t="str">
            <v>0.0660.2650.0960.573000</v>
          </cell>
          <cell r="L44">
            <v>43</v>
          </cell>
          <cell r="M44">
            <v>43</v>
          </cell>
        </row>
        <row r="45">
          <cell r="A45" t="str">
            <v>Indust. 1-shift (8/5) (e.g., comp. air, lights)</v>
          </cell>
          <cell r="B45">
            <v>44</v>
          </cell>
          <cell r="C45">
            <v>0.33200000000000002</v>
          </cell>
          <cell r="D45">
            <v>0</v>
          </cell>
          <cell r="E45">
            <v>0.66800000000000004</v>
          </cell>
          <cell r="F45">
            <v>0</v>
          </cell>
          <cell r="G45">
            <v>0.39700000000000002</v>
          </cell>
          <cell r="H45">
            <v>0.66700000000000004</v>
          </cell>
          <cell r="I45">
            <v>0.39700000000000002</v>
          </cell>
          <cell r="J45">
            <v>2080</v>
          </cell>
          <cell r="K45" t="str">
            <v>0.33200.66800.3970.6670.397</v>
          </cell>
          <cell r="L45">
            <v>44</v>
          </cell>
          <cell r="M45">
            <v>44</v>
          </cell>
        </row>
        <row r="46">
          <cell r="A46" t="str">
            <v>Indust. 2-shift (16/5) (e.g., comp. air, lights)</v>
          </cell>
          <cell r="B46">
            <v>45</v>
          </cell>
          <cell r="C46">
            <v>0.311</v>
          </cell>
          <cell r="D46">
            <v>2.1000000000000001E-2</v>
          </cell>
          <cell r="E46">
            <v>0.626</v>
          </cell>
          <cell r="F46">
            <v>4.2000000000000003E-2</v>
          </cell>
          <cell r="G46">
            <v>0.71399999999999997</v>
          </cell>
          <cell r="H46">
            <v>1</v>
          </cell>
          <cell r="I46">
            <v>0.71399999999999997</v>
          </cell>
          <cell r="J46">
            <v>4160</v>
          </cell>
          <cell r="K46" t="str">
            <v>0.3110.0210.6260.0420.71410.714</v>
          </cell>
          <cell r="L46">
            <v>45</v>
          </cell>
          <cell r="M46">
            <v>45</v>
          </cell>
        </row>
        <row r="47">
          <cell r="A47" t="str">
            <v>Indust. 3-shift (24/5) (e.g., comp. air, lights)</v>
          </cell>
          <cell r="B47">
            <v>46</v>
          </cell>
          <cell r="C47">
            <v>0.221</v>
          </cell>
          <cell r="D47">
            <v>0.111</v>
          </cell>
          <cell r="E47">
            <v>0.44500000000000001</v>
          </cell>
          <cell r="F47">
            <v>0.223</v>
          </cell>
          <cell r="G47">
            <v>0.71399999999999997</v>
          </cell>
          <cell r="H47">
            <v>1</v>
          </cell>
          <cell r="I47">
            <v>0.71399999999999997</v>
          </cell>
          <cell r="J47">
            <v>6240</v>
          </cell>
          <cell r="K47" t="str">
            <v>0.2210.1110.4450.2230.71410.714</v>
          </cell>
          <cell r="L47">
            <v>46</v>
          </cell>
          <cell r="M47">
            <v>46</v>
          </cell>
        </row>
        <row r="48">
          <cell r="A48" t="str">
            <v>Indust. 4-shift (24/7) (e.g., comp. air, lights)</v>
          </cell>
          <cell r="B48">
            <v>47</v>
          </cell>
          <cell r="C48">
            <v>0.221</v>
          </cell>
          <cell r="D48">
            <v>0.111</v>
          </cell>
          <cell r="E48">
            <v>0.318</v>
          </cell>
          <cell r="F48">
            <v>0.35</v>
          </cell>
          <cell r="G48">
            <v>1</v>
          </cell>
          <cell r="H48">
            <v>1</v>
          </cell>
          <cell r="I48">
            <v>1</v>
          </cell>
          <cell r="J48">
            <v>8320</v>
          </cell>
          <cell r="K48" t="str">
            <v>0.2210.1110.3180.35111</v>
          </cell>
          <cell r="L48">
            <v>47</v>
          </cell>
          <cell r="M48">
            <v>47</v>
          </cell>
        </row>
        <row r="49">
          <cell r="A49" t="str">
            <v>Storage ESH (Statewide)</v>
          </cell>
          <cell r="B49">
            <v>48</v>
          </cell>
          <cell r="C49">
            <v>0.159</v>
          </cell>
          <cell r="D49">
            <v>0.65400000000000003</v>
          </cell>
          <cell r="E49">
            <v>2.5000000000000001E-2</v>
          </cell>
          <cell r="F49">
            <v>0.16200000000000001</v>
          </cell>
          <cell r="G49">
            <v>0</v>
          </cell>
          <cell r="H49">
            <v>0</v>
          </cell>
          <cell r="I49">
            <v>0</v>
          </cell>
          <cell r="J49">
            <v>841</v>
          </cell>
          <cell r="K49" t="str">
            <v>0.1590.6540.0250.162000</v>
          </cell>
          <cell r="L49">
            <v>48</v>
          </cell>
          <cell r="M49">
            <v>48</v>
          </cell>
        </row>
        <row r="50">
          <cell r="A50" t="str">
            <v>Controlled ESH (Statewide)</v>
          </cell>
          <cell r="B50">
            <v>49</v>
          </cell>
          <cell r="C50">
            <v>0.159</v>
          </cell>
          <cell r="D50">
            <v>0.65400000000000003</v>
          </cell>
          <cell r="E50">
            <v>2.5000000000000001E-2</v>
          </cell>
          <cell r="F50">
            <v>0.16200000000000001</v>
          </cell>
          <cell r="G50">
            <v>0</v>
          </cell>
          <cell r="H50">
            <v>0</v>
          </cell>
          <cell r="I50">
            <v>0</v>
          </cell>
          <cell r="J50">
            <v>841</v>
          </cell>
          <cell r="K50" t="str">
            <v>0.1590.6540.0250.162000</v>
          </cell>
          <cell r="L50">
            <v>49</v>
          </cell>
          <cell r="M50">
            <v>49</v>
          </cell>
        </row>
        <row r="51">
          <cell r="A51" t="str">
            <v>Storage ESH (GMP)</v>
          </cell>
          <cell r="B51">
            <v>50</v>
          </cell>
          <cell r="C51">
            <v>0.42899999999999999</v>
          </cell>
          <cell r="D51">
            <v>0.38400000000000001</v>
          </cell>
          <cell r="E51">
            <v>7.0000000000000007E-2</v>
          </cell>
          <cell r="F51">
            <v>0.11699999999999999</v>
          </cell>
          <cell r="G51">
            <v>4.2999999999999997E-2</v>
          </cell>
          <cell r="H51">
            <v>2.8999999999999998E-3</v>
          </cell>
          <cell r="I51">
            <v>2.2000000000000001E-3</v>
          </cell>
          <cell r="J51">
            <v>841</v>
          </cell>
          <cell r="K51" t="str">
            <v>0.4290.3840.070.1170.0430.00290.0022</v>
          </cell>
          <cell r="L51">
            <v>50</v>
          </cell>
          <cell r="M51">
            <v>50</v>
          </cell>
        </row>
        <row r="52">
          <cell r="A52" t="str">
            <v>Controlled ESH (GMP)</v>
          </cell>
          <cell r="B52">
            <v>51</v>
          </cell>
          <cell r="C52">
            <v>0.57899999999999996</v>
          </cell>
          <cell r="D52">
            <v>0.23399999999999999</v>
          </cell>
          <cell r="E52">
            <v>9.5000000000000001E-2</v>
          </cell>
          <cell r="F52">
            <v>9.1999999999999998E-2</v>
          </cell>
          <cell r="G52">
            <v>5.1999999999999998E-2</v>
          </cell>
          <cell r="H52">
            <v>2E-3</v>
          </cell>
          <cell r="I52">
            <v>0.03</v>
          </cell>
          <cell r="J52">
            <v>841</v>
          </cell>
          <cell r="K52" t="str">
            <v>0.5790.2340.0950.0920.0520.0020.03</v>
          </cell>
          <cell r="L52">
            <v>51</v>
          </cell>
          <cell r="M52">
            <v>51</v>
          </cell>
        </row>
        <row r="53">
          <cell r="A53" t="str">
            <v>Controlled DHW Fuel Switch</v>
          </cell>
          <cell r="B53">
            <v>52</v>
          </cell>
          <cell r="C53">
            <v>0.316</v>
          </cell>
          <cell r="D53">
            <v>6.2E-2</v>
          </cell>
          <cell r="E53">
            <v>0.371</v>
          </cell>
          <cell r="F53">
            <v>0.251</v>
          </cell>
          <cell r="G53">
            <v>0.33200000000000002</v>
          </cell>
          <cell r="H53">
            <v>0.22900000000000001</v>
          </cell>
          <cell r="I53">
            <v>0.309</v>
          </cell>
          <cell r="J53">
            <v>2533.3333333333335</v>
          </cell>
          <cell r="K53" t="str">
            <v>0.3160.0620.3710.2510.3320.2290.309</v>
          </cell>
          <cell r="L53">
            <v>52</v>
          </cell>
          <cell r="M53">
            <v>52</v>
          </cell>
        </row>
        <row r="54">
          <cell r="A54" t="str">
            <v>Controlled DHW Insulation</v>
          </cell>
          <cell r="B54">
            <v>53</v>
          </cell>
          <cell r="C54">
            <v>0.223</v>
          </cell>
          <cell r="D54">
            <v>0.111</v>
          </cell>
          <cell r="E54">
            <v>0.33300000000000002</v>
          </cell>
          <cell r="F54">
            <v>0.33300000000000002</v>
          </cell>
          <cell r="G54">
            <v>0.73</v>
          </cell>
          <cell r="H54">
            <v>0.79</v>
          </cell>
          <cell r="I54">
            <v>0.7</v>
          </cell>
          <cell r="J54">
            <v>8760</v>
          </cell>
          <cell r="K54" t="str">
            <v>0.2230.1110.3330.3330.730.790.7</v>
          </cell>
          <cell r="L54">
            <v>53</v>
          </cell>
          <cell r="M54">
            <v>53</v>
          </cell>
        </row>
        <row r="55">
          <cell r="A55" t="str">
            <v>Controlled DHW Conservation</v>
          </cell>
          <cell r="B55">
            <v>54</v>
          </cell>
          <cell r="C55">
            <v>0.28399999999999997</v>
          </cell>
          <cell r="D55">
            <v>3.1E-2</v>
          </cell>
          <cell r="E55">
            <v>0.46500000000000002</v>
          </cell>
          <cell r="F55">
            <v>0.22</v>
          </cell>
          <cell r="G55">
            <v>0.56599999999999995</v>
          </cell>
          <cell r="H55">
            <v>0.38</v>
          </cell>
          <cell r="I55">
            <v>0.45400000000000001</v>
          </cell>
          <cell r="J55">
            <v>3427.0588235294113</v>
          </cell>
          <cell r="K55" t="str">
            <v>0.2840.0310.4650.220.5660.380.454</v>
          </cell>
          <cell r="L55">
            <v>54</v>
          </cell>
          <cell r="M55">
            <v>54</v>
          </cell>
        </row>
        <row r="56">
          <cell r="A56" t="str">
            <v>VFD - Supply fans &lt;10 HP</v>
          </cell>
          <cell r="B56">
            <v>55</v>
          </cell>
          <cell r="C56">
            <v>0.23499999999999999</v>
          </cell>
          <cell r="D56">
            <v>0.06</v>
          </cell>
          <cell r="E56">
            <v>0.47499999999999998</v>
          </cell>
          <cell r="F56">
            <v>0.23</v>
          </cell>
          <cell r="G56">
            <v>1</v>
          </cell>
          <cell r="H56">
            <v>0.41</v>
          </cell>
          <cell r="I56">
            <v>0.71</v>
          </cell>
          <cell r="K56" t="str">
            <v>0.2350.060.4750.2310.410.71</v>
          </cell>
          <cell r="L56">
            <v>55</v>
          </cell>
          <cell r="M56">
            <v>55</v>
          </cell>
        </row>
        <row r="57">
          <cell r="A57" t="str">
            <v>VFD - Return fans &lt;10 HP</v>
          </cell>
          <cell r="B57">
            <v>56</v>
          </cell>
          <cell r="C57">
            <v>0.23499999999999999</v>
          </cell>
          <cell r="D57">
            <v>0.06</v>
          </cell>
          <cell r="E57">
            <v>0.47499999999999998</v>
          </cell>
          <cell r="F57">
            <v>0.23</v>
          </cell>
          <cell r="G57">
            <v>1</v>
          </cell>
          <cell r="H57">
            <v>0.66</v>
          </cell>
          <cell r="I57">
            <v>0.83</v>
          </cell>
          <cell r="K57" t="str">
            <v>0.2350.060.4750.2310.660.83</v>
          </cell>
          <cell r="L57">
            <v>56</v>
          </cell>
          <cell r="M57">
            <v>56</v>
          </cell>
        </row>
        <row r="58">
          <cell r="A58" t="str">
            <v>VFD - Exhaust fans &lt;10 HP</v>
          </cell>
          <cell r="B58">
            <v>57</v>
          </cell>
          <cell r="C58">
            <v>0.22</v>
          </cell>
          <cell r="D58">
            <v>0.11</v>
          </cell>
          <cell r="E58">
            <v>0.32</v>
          </cell>
          <cell r="F58">
            <v>0.35</v>
          </cell>
          <cell r="G58">
            <v>1</v>
          </cell>
          <cell r="H58">
            <v>0.37</v>
          </cell>
          <cell r="I58">
            <v>0.69</v>
          </cell>
          <cell r="K58" t="str">
            <v>0.220.110.320.3510.370.69</v>
          </cell>
          <cell r="L58">
            <v>57</v>
          </cell>
          <cell r="M58">
            <v>57</v>
          </cell>
        </row>
        <row r="59">
          <cell r="A59" t="str">
            <v>VFD - Boiler feedwater pumps &lt;10 HP</v>
          </cell>
          <cell r="B59">
            <v>58</v>
          </cell>
          <cell r="C59">
            <v>0.44</v>
          </cell>
          <cell r="D59">
            <v>0.38</v>
          </cell>
          <cell r="E59">
            <v>7.0000000000000007E-2</v>
          </cell>
          <cell r="F59">
            <v>0.11</v>
          </cell>
          <cell r="G59">
            <v>1</v>
          </cell>
          <cell r="H59">
            <v>0.67</v>
          </cell>
          <cell r="I59">
            <v>0.83</v>
          </cell>
          <cell r="K59" t="str">
            <v>0.440.380.070.1110.670.83</v>
          </cell>
          <cell r="L59">
            <v>58</v>
          </cell>
          <cell r="M59">
            <v>58</v>
          </cell>
        </row>
        <row r="60">
          <cell r="A60" t="str">
            <v>VFD - Chilled water pumps &lt;10 HP</v>
          </cell>
          <cell r="B60">
            <v>59</v>
          </cell>
          <cell r="C60">
            <v>3.0000000000000001E-3</v>
          </cell>
          <cell r="D60">
            <v>1E-3</v>
          </cell>
          <cell r="E60">
            <v>0.51800000000000002</v>
          </cell>
          <cell r="F60">
            <v>0.47799999999999998</v>
          </cell>
          <cell r="G60">
            <v>0</v>
          </cell>
          <cell r="H60">
            <v>1</v>
          </cell>
          <cell r="I60">
            <v>0.5</v>
          </cell>
          <cell r="K60" t="str">
            <v>0.0030.0010.5180.478010.5</v>
          </cell>
          <cell r="L60">
            <v>59</v>
          </cell>
          <cell r="M60">
            <v>59</v>
          </cell>
        </row>
        <row r="61">
          <cell r="A61" t="str">
            <v>Economizer (AC)</v>
          </cell>
          <cell r="B61">
            <v>60</v>
          </cell>
          <cell r="C61">
            <v>0.16900000000000001</v>
          </cell>
          <cell r="D61">
            <v>7.5999999999999998E-2</v>
          </cell>
          <cell r="E61">
            <v>0.372</v>
          </cell>
          <cell r="F61">
            <v>0.38300000000000001</v>
          </cell>
          <cell r="G61">
            <v>0</v>
          </cell>
          <cell r="H61">
            <v>0</v>
          </cell>
          <cell r="I61">
            <v>0.56299999999999994</v>
          </cell>
          <cell r="J61">
            <v>4438</v>
          </cell>
          <cell r="K61" t="str">
            <v>0.1690.0760.3720.383000.563</v>
          </cell>
          <cell r="L61">
            <v>60</v>
          </cell>
          <cell r="M61">
            <v>60</v>
          </cell>
        </row>
        <row r="62">
          <cell r="A62" t="str">
            <v>Milk Vacuum Pump</v>
          </cell>
          <cell r="B62">
            <v>61</v>
          </cell>
          <cell r="C62">
            <v>0.254</v>
          </cell>
          <cell r="D62">
            <v>7.5999999999999998E-2</v>
          </cell>
          <cell r="E62">
            <v>0.36799999999999999</v>
          </cell>
          <cell r="F62">
            <v>0.30199999999999999</v>
          </cell>
          <cell r="G62">
            <v>0.33300000000000002</v>
          </cell>
          <cell r="H62">
            <v>0.24399999999999999</v>
          </cell>
          <cell r="I62">
            <v>0.49</v>
          </cell>
          <cell r="K62" t="str">
            <v>0.2540.0760.3680.3020.3330.2440.49</v>
          </cell>
          <cell r="L62">
            <v>61</v>
          </cell>
          <cell r="M62">
            <v>61</v>
          </cell>
        </row>
        <row r="63">
          <cell r="A63" t="str">
            <v>Office Computer</v>
          </cell>
          <cell r="B63">
            <v>62</v>
          </cell>
          <cell r="C63">
            <v>0.21199999999999999</v>
          </cell>
          <cell r="D63">
            <v>0.11899999999999999</v>
          </cell>
          <cell r="E63">
            <v>0.28999999999999998</v>
          </cell>
          <cell r="F63">
            <v>0.379</v>
          </cell>
          <cell r="G63">
            <v>0.254</v>
          </cell>
          <cell r="H63">
            <v>0.23499999999999999</v>
          </cell>
          <cell r="I63">
            <v>0.26300000000000001</v>
          </cell>
          <cell r="K63" t="str">
            <v>0.2120.1190.290.3790.2540.2350.263</v>
          </cell>
          <cell r="L63">
            <v>62</v>
          </cell>
          <cell r="M63">
            <v>62</v>
          </cell>
        </row>
        <row r="64">
          <cell r="A64" t="str">
            <v>Commercial Indoor Lighting with cooling bonus</v>
          </cell>
          <cell r="B64">
            <v>63</v>
          </cell>
          <cell r="C64">
            <v>0.249</v>
          </cell>
          <cell r="D64">
            <v>4.8000000000000001E-2</v>
          </cell>
          <cell r="E64">
            <v>0.43099999999999999</v>
          </cell>
          <cell r="F64">
            <v>0.27200000000000002</v>
          </cell>
          <cell r="G64">
            <v>0.48</v>
          </cell>
          <cell r="H64">
            <v>0.72</v>
          </cell>
          <cell r="I64">
            <v>0.441</v>
          </cell>
          <cell r="J64">
            <v>3500</v>
          </cell>
          <cell r="K64" t="str">
            <v>0.2490.0480.4310.2720.480.720.441</v>
          </cell>
          <cell r="L64">
            <v>63</v>
          </cell>
          <cell r="M64">
            <v>63</v>
          </cell>
        </row>
        <row r="65">
          <cell r="A65" t="str">
            <v>Industrial Indoor Lighting with cooling bonus</v>
          </cell>
          <cell r="B65">
            <v>64</v>
          </cell>
          <cell r="C65">
            <v>0.249</v>
          </cell>
          <cell r="D65">
            <v>4.8000000000000001E-2</v>
          </cell>
          <cell r="E65">
            <v>0.43099999999999999</v>
          </cell>
          <cell r="F65">
            <v>0.27200000000000002</v>
          </cell>
          <cell r="G65">
            <v>0.65900000000000003</v>
          </cell>
          <cell r="H65">
            <v>0.94899999999999995</v>
          </cell>
          <cell r="I65">
            <v>0.65900000000000003</v>
          </cell>
          <cell r="J65">
            <v>5913.4319526627214</v>
          </cell>
          <cell r="K65" t="str">
            <v>0.2490.0480.4310.2720.6590.9490.659</v>
          </cell>
          <cell r="L65">
            <v>64</v>
          </cell>
          <cell r="M65">
            <v>64</v>
          </cell>
        </row>
        <row r="66">
          <cell r="A66" t="str">
            <v>Continuous C&amp;I Indoor Lighting with cooling bonus</v>
          </cell>
          <cell r="B66">
            <v>65</v>
          </cell>
          <cell r="C66">
            <v>0.19700000000000001</v>
          </cell>
          <cell r="D66">
            <v>9.9000000000000005E-2</v>
          </cell>
          <cell r="E66">
            <v>0.34100000000000003</v>
          </cell>
          <cell r="F66">
            <v>0.36299999999999999</v>
          </cell>
          <cell r="G66">
            <v>0.71399999999999997</v>
          </cell>
          <cell r="H66">
            <v>1</v>
          </cell>
          <cell r="I66">
            <v>0.71399999999999997</v>
          </cell>
          <cell r="J66">
            <v>8760</v>
          </cell>
          <cell r="K66" t="str">
            <v>0.1970.0990.3410.3630.71410.714</v>
          </cell>
          <cell r="L66">
            <v>65</v>
          </cell>
          <cell r="M66">
            <v>65</v>
          </cell>
        </row>
        <row r="67">
          <cell r="A67" t="str">
            <v>Refrigeration Economizer</v>
          </cell>
          <cell r="B67">
            <v>66</v>
          </cell>
          <cell r="C67">
            <v>0.53</v>
          </cell>
          <cell r="D67">
            <v>0.28399999999999997</v>
          </cell>
          <cell r="E67">
            <v>0.08</v>
          </cell>
          <cell r="F67">
            <v>0.106</v>
          </cell>
          <cell r="G67">
            <v>1</v>
          </cell>
          <cell r="H67">
            <v>0</v>
          </cell>
          <cell r="I67">
            <v>0.3</v>
          </cell>
          <cell r="J67">
            <v>2996</v>
          </cell>
          <cell r="K67" t="str">
            <v>0.530.2840.080.106100.3</v>
          </cell>
          <cell r="L67">
            <v>66</v>
          </cell>
          <cell r="M67">
            <v>66</v>
          </cell>
        </row>
        <row r="68">
          <cell r="A68" t="str">
            <v>Strip Curtain</v>
          </cell>
          <cell r="B68">
            <v>67</v>
          </cell>
          <cell r="C68">
            <v>0.19700000000000001</v>
          </cell>
          <cell r="D68">
            <v>9.5000000000000001E-2</v>
          </cell>
          <cell r="E68">
            <v>0.35899999999999999</v>
          </cell>
          <cell r="F68">
            <v>0.34899999999999998</v>
          </cell>
          <cell r="G68">
            <v>1</v>
          </cell>
          <cell r="H68">
            <v>1</v>
          </cell>
          <cell r="I68">
            <v>1</v>
          </cell>
          <cell r="J68">
            <v>8760</v>
          </cell>
          <cell r="K68" t="str">
            <v>0.1970.0950.3590.349111</v>
          </cell>
          <cell r="L68">
            <v>67</v>
          </cell>
          <cell r="M68">
            <v>67</v>
          </cell>
        </row>
        <row r="69">
          <cell r="A69" t="str">
            <v>Evaporator Fan Control</v>
          </cell>
          <cell r="B69">
            <v>68</v>
          </cell>
          <cell r="C69">
            <v>0.26700000000000002</v>
          </cell>
          <cell r="D69">
            <v>0.14000000000000001</v>
          </cell>
          <cell r="E69">
            <v>0.24099999999999999</v>
          </cell>
          <cell r="F69">
            <v>0.35199999999999998</v>
          </cell>
          <cell r="G69">
            <v>0.60599999999999998</v>
          </cell>
          <cell r="H69">
            <v>0.377</v>
          </cell>
          <cell r="I69">
            <v>0.49099999999999999</v>
          </cell>
          <cell r="J69">
            <v>4380</v>
          </cell>
          <cell r="K69" t="str">
            <v>0.2670.140.2410.3520.6060.3770.491</v>
          </cell>
          <cell r="L69">
            <v>68</v>
          </cell>
          <cell r="M69">
            <v>68</v>
          </cell>
        </row>
        <row r="70">
          <cell r="A70" t="str">
            <v>Door Heater Control</v>
          </cell>
          <cell r="B70">
            <v>69</v>
          </cell>
          <cell r="C70">
            <v>0.35699999999999998</v>
          </cell>
          <cell r="D70">
            <v>0.17899999999999999</v>
          </cell>
          <cell r="E70">
            <v>0.221</v>
          </cell>
          <cell r="F70">
            <v>0.24299999999999999</v>
          </cell>
          <cell r="G70">
            <v>1</v>
          </cell>
          <cell r="H70">
            <v>0</v>
          </cell>
          <cell r="I70">
            <v>0.88900000000000001</v>
          </cell>
          <cell r="J70">
            <v>8760</v>
          </cell>
          <cell r="K70" t="str">
            <v>0.3570.1790.2210.243100.889</v>
          </cell>
          <cell r="L70">
            <v>69</v>
          </cell>
          <cell r="M70">
            <v>69</v>
          </cell>
        </row>
        <row r="71">
          <cell r="A71" t="str">
            <v xml:space="preserve">Floating Head Pressure Control </v>
          </cell>
          <cell r="B71">
            <v>70</v>
          </cell>
          <cell r="C71">
            <v>0.23699999999999999</v>
          </cell>
          <cell r="D71">
            <v>0.12</v>
          </cell>
          <cell r="E71">
            <v>0.29899999999999999</v>
          </cell>
          <cell r="F71">
            <v>0.34399999999999997</v>
          </cell>
          <cell r="G71">
            <v>1</v>
          </cell>
          <cell r="H71">
            <v>0</v>
          </cell>
          <cell r="I71">
            <v>0.53700000000000003</v>
          </cell>
          <cell r="J71">
            <v>7221</v>
          </cell>
          <cell r="K71" t="str">
            <v>0.2370.120.2990.344100.537</v>
          </cell>
          <cell r="L71">
            <v>70</v>
          </cell>
          <cell r="M71">
            <v>70</v>
          </cell>
        </row>
        <row r="72">
          <cell r="A72" t="str">
            <v>Furnace Fan Heating and Cooling</v>
          </cell>
          <cell r="B72">
            <v>71</v>
          </cell>
          <cell r="C72">
            <v>0.36699999999999999</v>
          </cell>
          <cell r="D72">
            <v>0.19700000000000001</v>
          </cell>
          <cell r="E72">
            <v>0.23100000000000001</v>
          </cell>
          <cell r="F72">
            <v>0.20499999999999999</v>
          </cell>
          <cell r="G72">
            <v>0.25600000000000001</v>
          </cell>
          <cell r="H72">
            <v>0.75800000000000001</v>
          </cell>
          <cell r="I72">
            <v>9.2999999999999999E-2</v>
          </cell>
          <cell r="J72">
            <v>2455</v>
          </cell>
          <cell r="K72" t="str">
            <v>0.3670.1970.2310.2050.2560.7580.093</v>
          </cell>
          <cell r="L72">
            <v>71</v>
          </cell>
          <cell r="M72">
            <v>71</v>
          </cell>
        </row>
        <row r="73">
          <cell r="A73" t="str">
            <v>Snow Making</v>
          </cell>
          <cell r="B73">
            <v>72</v>
          </cell>
          <cell r="C73">
            <v>0.44</v>
          </cell>
          <cell r="D73">
            <v>0.44</v>
          </cell>
          <cell r="E73">
            <v>0.02</v>
          </cell>
          <cell r="F73">
            <v>0.1</v>
          </cell>
          <cell r="G73" t="str">
            <v>Need Input</v>
          </cell>
          <cell r="H73">
            <v>0</v>
          </cell>
          <cell r="I73" t="str">
            <v>Need Input</v>
          </cell>
          <cell r="M73" t="str">
            <v>CUST</v>
          </cell>
        </row>
        <row r="74">
          <cell r="A74" t="str">
            <v>Custom</v>
          </cell>
          <cell r="B74">
            <v>73</v>
          </cell>
          <cell r="C74" t="str">
            <v>Need Input</v>
          </cell>
          <cell r="D74" t="str">
            <v>Need Input</v>
          </cell>
          <cell r="E74" t="str">
            <v>Need Input</v>
          </cell>
          <cell r="F74" t="str">
            <v>Need Input</v>
          </cell>
          <cell r="G74" t="str">
            <v>Need Input</v>
          </cell>
          <cell r="H74" t="str">
            <v>Need Input</v>
          </cell>
          <cell r="I74" t="str">
            <v>Need Input</v>
          </cell>
          <cell r="M74" t="str">
            <v>CUST</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RunTools"/>
      <sheetName val="CustomerInfo"/>
      <sheetName val="ioMFGeneral"/>
      <sheetName val="appxMFGeneral"/>
      <sheetName val="Review"/>
      <sheetName val="CustRpt"/>
      <sheetName val="Inspect"/>
      <sheetName val="CashFlow"/>
      <sheetName val="IncentiveLtr"/>
      <sheetName val="CheckRequest"/>
      <sheetName val="tblMFGeneralTechnology"/>
      <sheetName val="tblHoursDiscount"/>
      <sheetName val="tblLoadShape"/>
      <sheetName val="tblHotWaterType"/>
      <sheetName val="tblHeatType"/>
      <sheetName val="tblFuelType"/>
      <sheetName val="tblReportDate"/>
      <sheetName val="tblMeasureType"/>
      <sheetName val="tblMeasureCategory"/>
      <sheetName val="tblMeasureStatus"/>
      <sheetName val="tblModVBA"/>
      <sheetName val="Summary"/>
      <sheetName val="VersionNotes"/>
      <sheetName val="mscVBATables"/>
      <sheetName val="DBDefn"/>
      <sheetName val="NewSheet"/>
    </sheetNames>
    <sheetDataSet>
      <sheetData sheetId="0"/>
      <sheetData sheetId="1"/>
      <sheetData sheetId="2"/>
      <sheetData sheetId="3"/>
      <sheetData sheetId="4"/>
      <sheetData sheetId="5"/>
      <sheetData sheetId="6"/>
      <sheetData sheetId="7"/>
      <sheetData sheetId="8"/>
      <sheetData sheetId="9"/>
      <sheetData sheetId="10"/>
      <sheetData sheetId="11">
        <row r="1">
          <cell r="A1" t="str">
            <v>Measure Description</v>
          </cell>
          <cell r="B1" t="str">
            <v>Index</v>
          </cell>
          <cell r="C1" t="str">
            <v>Measure Type</v>
          </cell>
          <cell r="D1" t="str">
            <v>Measure Code</v>
          </cell>
          <cell r="E1" t="str">
            <v>Analysis Period</v>
          </cell>
          <cell r="F1" t="str">
            <v>Replaceable Component Life</v>
          </cell>
          <cell r="G1" t="str">
            <v>Standard Load Shape</v>
          </cell>
          <cell r="H1" t="str">
            <v>Base System</v>
          </cell>
          <cell r="I1" t="str">
            <v>Fuel Type</v>
          </cell>
          <cell r="J1" t="str">
            <v>Base Efficiency</v>
          </cell>
          <cell r="K1" t="str">
            <v>New Efficiency</v>
          </cell>
          <cell r="L1" t="str">
            <v>Measure Cost</v>
          </cell>
          <cell r="M1" t="str">
            <v>Typical Incentive</v>
          </cell>
          <cell r="N1" t="str">
            <v>Base kWh</v>
          </cell>
          <cell r="O1" t="str">
            <v>Efficient System kWh</v>
          </cell>
          <cell r="P1" t="str">
            <v>Existing Equipment Life</v>
          </cell>
          <cell r="Q1" t="str">
            <v>Annual Maintenance Cost</v>
          </cell>
          <cell r="R1" t="str">
            <v>Replaceable Component Cost</v>
          </cell>
        </row>
        <row r="2">
          <cell r="A2" t="str">
            <v>Electric fuel switch hot water, indirect fired oil</v>
          </cell>
          <cell r="B2">
            <v>2</v>
          </cell>
          <cell r="C2" t="str">
            <v>HFS</v>
          </cell>
          <cell r="D2" t="str">
            <v>HWFNFOIL</v>
          </cell>
          <cell r="E2">
            <v>30</v>
          </cell>
          <cell r="F2">
            <v>15</v>
          </cell>
          <cell r="G2" t="str">
            <v>Residential DHW fuel switch</v>
          </cell>
          <cell r="H2" t="str">
            <v>Electric central tank</v>
          </cell>
          <cell r="I2" t="str">
            <v xml:space="preserve">Com. Distillate </v>
          </cell>
          <cell r="J2">
            <v>0.9</v>
          </cell>
          <cell r="K2">
            <v>0.75</v>
          </cell>
          <cell r="L2">
            <v>1500</v>
          </cell>
        </row>
        <row r="3">
          <cell r="A3" t="str">
            <v>Electric fuel switch hot water, indirect fired natural gas</v>
          </cell>
          <cell r="B3">
            <v>3</v>
          </cell>
          <cell r="C3" t="str">
            <v>HFS</v>
          </cell>
          <cell r="D3" t="str">
            <v>HWFNNGAS</v>
          </cell>
          <cell r="E3">
            <v>30</v>
          </cell>
          <cell r="F3">
            <v>15</v>
          </cell>
          <cell r="G3" t="str">
            <v>Residential DHW fuel switch</v>
          </cell>
          <cell r="H3" t="str">
            <v>Electric central tank</v>
          </cell>
          <cell r="I3" t="str">
            <v>Com. Natural Gas</v>
          </cell>
          <cell r="J3">
            <v>0.9</v>
          </cell>
          <cell r="K3">
            <v>0.75</v>
          </cell>
          <cell r="L3">
            <v>1500</v>
          </cell>
        </row>
        <row r="4">
          <cell r="A4" t="str">
            <v>Electric fuel switch hot water, indirect fired propane</v>
          </cell>
          <cell r="B4">
            <v>4</v>
          </cell>
          <cell r="C4" t="str">
            <v>HFS</v>
          </cell>
          <cell r="D4" t="str">
            <v>HWFNPROP</v>
          </cell>
          <cell r="E4">
            <v>30</v>
          </cell>
          <cell r="F4">
            <v>15</v>
          </cell>
          <cell r="G4" t="str">
            <v>Residential DHW fuel switch</v>
          </cell>
          <cell r="H4" t="str">
            <v>Electric central tank</v>
          </cell>
          <cell r="I4" t="str">
            <v xml:space="preserve">Com. LPG </v>
          </cell>
          <cell r="J4">
            <v>0.9</v>
          </cell>
          <cell r="K4">
            <v>0.75</v>
          </cell>
          <cell r="L4">
            <v>1500</v>
          </cell>
        </row>
        <row r="5">
          <cell r="A5" t="str">
            <v>Electric fuel switch hot water, indirect fired wood</v>
          </cell>
          <cell r="B5">
            <v>5</v>
          </cell>
          <cell r="C5" t="str">
            <v>HFS</v>
          </cell>
          <cell r="D5" t="str">
            <v>HWFNWOOD</v>
          </cell>
          <cell r="E5">
            <v>30</v>
          </cell>
          <cell r="F5">
            <v>15</v>
          </cell>
          <cell r="G5" t="str">
            <v>Residential DHW fuel switch</v>
          </cell>
          <cell r="H5" t="str">
            <v>Electric central tank</v>
          </cell>
          <cell r="I5" t="str">
            <v>Wood</v>
          </cell>
          <cell r="J5">
            <v>0.9</v>
          </cell>
          <cell r="L5">
            <v>1500</v>
          </cell>
        </row>
        <row r="6">
          <cell r="A6" t="str">
            <v>Electric fuel switch hot water, stand alone oil</v>
          </cell>
          <cell r="B6">
            <v>6</v>
          </cell>
          <cell r="C6" t="str">
            <v>HFS</v>
          </cell>
          <cell r="D6" t="str">
            <v>HWFSFOIL</v>
          </cell>
          <cell r="E6">
            <v>30</v>
          </cell>
          <cell r="F6">
            <v>10</v>
          </cell>
          <cell r="G6" t="str">
            <v>Residential DHW fuel switch</v>
          </cell>
          <cell r="H6" t="str">
            <v>Electric central tank</v>
          </cell>
          <cell r="I6" t="str">
            <v xml:space="preserve">Com. Distillate </v>
          </cell>
          <cell r="J6">
            <v>0.9</v>
          </cell>
          <cell r="K6">
            <v>0.64</v>
          </cell>
          <cell r="L6">
            <v>950</v>
          </cell>
        </row>
        <row r="7">
          <cell r="A7" t="str">
            <v>Electric fuel switch hot water, stand alone natural gas</v>
          </cell>
          <cell r="B7">
            <v>7</v>
          </cell>
          <cell r="C7" t="str">
            <v>HFS</v>
          </cell>
          <cell r="D7" t="str">
            <v>HWFSNGAS</v>
          </cell>
          <cell r="E7">
            <v>30</v>
          </cell>
          <cell r="F7">
            <v>13</v>
          </cell>
          <cell r="G7" t="str">
            <v>Residential DHW fuel switch</v>
          </cell>
          <cell r="H7" t="str">
            <v>Electric central tank</v>
          </cell>
          <cell r="I7" t="str">
            <v>Com. Natural Gas</v>
          </cell>
          <cell r="J7">
            <v>0.9</v>
          </cell>
          <cell r="K7">
            <v>0.61</v>
          </cell>
          <cell r="L7">
            <v>950</v>
          </cell>
        </row>
        <row r="8">
          <cell r="A8" t="str">
            <v>Electric fuel switch hot water, stand alone propane</v>
          </cell>
          <cell r="B8">
            <v>8</v>
          </cell>
          <cell r="C8" t="str">
            <v>HFS</v>
          </cell>
          <cell r="D8" t="str">
            <v>HWFSPROP</v>
          </cell>
          <cell r="E8">
            <v>30</v>
          </cell>
          <cell r="F8">
            <v>13</v>
          </cell>
          <cell r="G8" t="str">
            <v>Residential DHW fuel switch</v>
          </cell>
          <cell r="H8" t="str">
            <v>Electric central tank</v>
          </cell>
          <cell r="I8" t="str">
            <v xml:space="preserve">Com. LPG </v>
          </cell>
          <cell r="J8">
            <v>0.9</v>
          </cell>
          <cell r="K8">
            <v>0.61</v>
          </cell>
          <cell r="L8">
            <v>950</v>
          </cell>
        </row>
        <row r="9">
          <cell r="A9" t="str">
            <v>Electric fuel switch hot water, stand alone wood</v>
          </cell>
          <cell r="B9">
            <v>9</v>
          </cell>
          <cell r="C9" t="str">
            <v>HFS</v>
          </cell>
          <cell r="D9" t="str">
            <v>HWFSWOOD</v>
          </cell>
          <cell r="E9">
            <v>30</v>
          </cell>
          <cell r="F9">
            <v>13</v>
          </cell>
          <cell r="G9" t="str">
            <v>Residential DHW fuel switch</v>
          </cell>
          <cell r="H9" t="str">
            <v>Electric central tank</v>
          </cell>
          <cell r="I9" t="str">
            <v>Wood</v>
          </cell>
          <cell r="J9">
            <v>0.9</v>
          </cell>
          <cell r="L9">
            <v>950</v>
          </cell>
        </row>
        <row r="10">
          <cell r="A10" t="str">
            <v>Electric fuel switch hot water, continuous flow natural gas</v>
          </cell>
          <cell r="B10">
            <v>10</v>
          </cell>
          <cell r="C10" t="str">
            <v>HFS</v>
          </cell>
          <cell r="D10" t="str">
            <v>HWFCNGAS</v>
          </cell>
          <cell r="E10">
            <v>30</v>
          </cell>
          <cell r="F10">
            <v>15</v>
          </cell>
          <cell r="G10" t="str">
            <v>Residential DHW fuel switch</v>
          </cell>
          <cell r="H10" t="str">
            <v>Electric central tank</v>
          </cell>
          <cell r="I10" t="str">
            <v>Com. Natural Gas</v>
          </cell>
          <cell r="J10">
            <v>0.9</v>
          </cell>
          <cell r="K10">
            <v>0.82</v>
          </cell>
          <cell r="L10" t="str">
            <v>Need Input</v>
          </cell>
        </row>
        <row r="11">
          <cell r="A11" t="str">
            <v>Electric fuel switch hot water, continuous flow propane</v>
          </cell>
          <cell r="B11">
            <v>11</v>
          </cell>
          <cell r="C11" t="str">
            <v>HFS</v>
          </cell>
          <cell r="D11" t="str">
            <v>HWFCPROP</v>
          </cell>
          <cell r="E11">
            <v>30</v>
          </cell>
          <cell r="F11">
            <v>15</v>
          </cell>
          <cell r="G11" t="str">
            <v>Residential DHW fuel switch</v>
          </cell>
          <cell r="H11" t="str">
            <v>Electric central tank</v>
          </cell>
          <cell r="I11" t="str">
            <v xml:space="preserve">Com. LPG </v>
          </cell>
          <cell r="J11">
            <v>0.9</v>
          </cell>
          <cell r="K11">
            <v>0.82</v>
          </cell>
          <cell r="L11" t="str">
            <v>Need Input</v>
          </cell>
        </row>
        <row r="12">
          <cell r="A12" t="str">
            <v>Electric fuel switch hot water, continuous flow kerosene</v>
          </cell>
          <cell r="B12">
            <v>12</v>
          </cell>
          <cell r="C12" t="str">
            <v>HFS</v>
          </cell>
          <cell r="D12" t="str">
            <v>HWFCKERO</v>
          </cell>
          <cell r="E12">
            <v>30</v>
          </cell>
          <cell r="F12">
            <v>15</v>
          </cell>
          <cell r="G12" t="str">
            <v>Residential DHW fuel switch</v>
          </cell>
          <cell r="H12" t="str">
            <v>Electric central tank</v>
          </cell>
          <cell r="I12" t="str">
            <v>Kerosene</v>
          </cell>
          <cell r="J12">
            <v>0.9</v>
          </cell>
          <cell r="K12">
            <v>0.88</v>
          </cell>
          <cell r="L12" t="str">
            <v>Need Input</v>
          </cell>
        </row>
        <row r="13">
          <cell r="A13" t="str">
            <v>Electric fuel switch hot water, continuous flow oil</v>
          </cell>
          <cell r="B13">
            <v>13</v>
          </cell>
          <cell r="C13" t="str">
            <v>HFS</v>
          </cell>
          <cell r="D13" t="str">
            <v>HWFCFOIL</v>
          </cell>
          <cell r="E13">
            <v>30</v>
          </cell>
          <cell r="F13">
            <v>15</v>
          </cell>
          <cell r="G13" t="str">
            <v>Residential DHW fuel switch</v>
          </cell>
          <cell r="H13" t="str">
            <v>Electric central tank</v>
          </cell>
          <cell r="I13" t="str">
            <v xml:space="preserve">Com. Distillate </v>
          </cell>
          <cell r="J13">
            <v>0.9</v>
          </cell>
          <cell r="K13">
            <v>0.88</v>
          </cell>
          <cell r="L13" t="str">
            <v>Need Input</v>
          </cell>
        </row>
        <row r="14">
          <cell r="A14" t="str">
            <v>Comprehensive hot water conservation</v>
          </cell>
          <cell r="B14">
            <v>14</v>
          </cell>
          <cell r="C14" t="str">
            <v>HWE</v>
          </cell>
          <cell r="D14" t="str">
            <v>HWECOMPR</v>
          </cell>
          <cell r="E14">
            <v>9</v>
          </cell>
          <cell r="G14" t="str">
            <v>Residential DHW conserve</v>
          </cell>
          <cell r="L14" t="str">
            <v>Need Input</v>
          </cell>
        </row>
        <row r="15">
          <cell r="A15" t="str">
            <v>Improve hot water controls</v>
          </cell>
          <cell r="B15">
            <v>15</v>
          </cell>
          <cell r="C15" t="str">
            <v>HWE</v>
          </cell>
          <cell r="D15" t="str">
            <v>HWECONTR</v>
          </cell>
          <cell r="E15">
            <v>10</v>
          </cell>
          <cell r="G15" t="str">
            <v>Residential DHW conserve</v>
          </cell>
          <cell r="L15" t="str">
            <v>Need Input</v>
          </cell>
        </row>
        <row r="16">
          <cell r="A16" t="str">
            <v>Low flow faucets and showerheads</v>
          </cell>
          <cell r="B16">
            <v>16</v>
          </cell>
          <cell r="C16" t="str">
            <v>HWE</v>
          </cell>
          <cell r="D16" t="str">
            <v>HWELOWFL</v>
          </cell>
          <cell r="E16">
            <v>9</v>
          </cell>
          <cell r="G16" t="str">
            <v>Residential DHW conserve</v>
          </cell>
          <cell r="L16">
            <v>6</v>
          </cell>
        </row>
        <row r="17">
          <cell r="A17" t="str">
            <v>Faucet aerator/flow restrictor</v>
          </cell>
          <cell r="B17">
            <v>17</v>
          </cell>
          <cell r="C17" t="str">
            <v>HWE</v>
          </cell>
          <cell r="D17" t="str">
            <v>HWEFAUCT</v>
          </cell>
          <cell r="E17">
            <v>9</v>
          </cell>
          <cell r="G17" t="str">
            <v>Residential DHW conserve</v>
          </cell>
          <cell r="L17">
            <v>1</v>
          </cell>
        </row>
        <row r="18">
          <cell r="A18" t="str">
            <v>Low flow showerhead</v>
          </cell>
          <cell r="B18">
            <v>18</v>
          </cell>
          <cell r="C18" t="str">
            <v>HWE</v>
          </cell>
          <cell r="D18" t="str">
            <v>HWESHOWR</v>
          </cell>
          <cell r="E18">
            <v>9</v>
          </cell>
          <cell r="G18" t="str">
            <v>Residential DHW conserve</v>
          </cell>
          <cell r="L18">
            <v>6</v>
          </cell>
        </row>
        <row r="19">
          <cell r="A19" t="str">
            <v>Toilet Diverter</v>
          </cell>
          <cell r="B19">
            <v>19</v>
          </cell>
          <cell r="C19" t="str">
            <v>HWE</v>
          </cell>
          <cell r="D19" t="str">
            <v>WATDVTLT</v>
          </cell>
          <cell r="E19">
            <v>5</v>
          </cell>
          <cell r="G19" t="str">
            <v>Residential DHW conserve</v>
          </cell>
          <cell r="L19">
            <v>1</v>
          </cell>
        </row>
        <row r="20">
          <cell r="A20" t="str">
            <v>Water leak reduction</v>
          </cell>
          <cell r="B20">
            <v>20</v>
          </cell>
          <cell r="C20" t="str">
            <v>HWE</v>
          </cell>
          <cell r="D20" t="str">
            <v>WATLEAKS</v>
          </cell>
          <cell r="E20">
            <v>5</v>
          </cell>
          <cell r="G20" t="str">
            <v>Residential DHW conserve</v>
          </cell>
          <cell r="L20" t="str">
            <v>Need Input</v>
          </cell>
        </row>
        <row r="21">
          <cell r="A21" t="str">
            <v>Low flow toilet</v>
          </cell>
          <cell r="B21">
            <v>21</v>
          </cell>
          <cell r="C21" t="str">
            <v>HWE</v>
          </cell>
          <cell r="D21" t="str">
            <v>WATLFTLT</v>
          </cell>
          <cell r="E21">
            <v>10</v>
          </cell>
          <cell r="G21" t="str">
            <v>Residential DHW conserve</v>
          </cell>
          <cell r="L21" t="str">
            <v>Need Input</v>
          </cell>
        </row>
        <row r="22">
          <cell r="A22" t="str">
            <v>Heat recovery, grey water</v>
          </cell>
          <cell r="B22">
            <v>22</v>
          </cell>
          <cell r="C22" t="str">
            <v>HWE</v>
          </cell>
          <cell r="D22" t="str">
            <v>HWEHRGRY</v>
          </cell>
          <cell r="E22">
            <v>15</v>
          </cell>
          <cell r="G22" t="str">
            <v>Residential DHW fuel switch</v>
          </cell>
          <cell r="L22" t="str">
            <v>Need Input</v>
          </cell>
        </row>
        <row r="23">
          <cell r="A23" t="str">
            <v>Insulate hot water tank</v>
          </cell>
          <cell r="B23">
            <v>23</v>
          </cell>
          <cell r="C23" t="str">
            <v>HWE</v>
          </cell>
          <cell r="D23" t="str">
            <v>HWEINSUL</v>
          </cell>
          <cell r="E23">
            <v>6</v>
          </cell>
          <cell r="G23" t="str">
            <v>Residential DHW insulation</v>
          </cell>
          <cell r="L23" t="str">
            <v>Need Input</v>
          </cell>
        </row>
        <row r="24">
          <cell r="A24" t="str">
            <v>Insulate hot water pipes</v>
          </cell>
          <cell r="B24">
            <v>24</v>
          </cell>
          <cell r="C24" t="str">
            <v>HWE</v>
          </cell>
          <cell r="D24" t="str">
            <v>HWEPIPES</v>
          </cell>
          <cell r="E24">
            <v>13</v>
          </cell>
          <cell r="G24" t="str">
            <v>Residential DHW insulation</v>
          </cell>
          <cell r="L24" t="str">
            <v>Need Input</v>
          </cell>
        </row>
        <row r="25">
          <cell r="A25" t="str">
            <v>Solar hot water heating</v>
          </cell>
          <cell r="B25">
            <v>25</v>
          </cell>
          <cell r="C25" t="str">
            <v>HWE</v>
          </cell>
          <cell r="D25" t="str">
            <v>HWESOLAR</v>
          </cell>
          <cell r="E25">
            <v>15</v>
          </cell>
          <cell r="G25" t="str">
            <v>Residential A/C</v>
          </cell>
          <cell r="L25" t="str">
            <v>Need Input</v>
          </cell>
        </row>
        <row r="26">
          <cell r="A26" t="str">
            <v>Hot water temperature setback</v>
          </cell>
          <cell r="B26">
            <v>26</v>
          </cell>
          <cell r="C26" t="str">
            <v>HWE</v>
          </cell>
          <cell r="D26" t="str">
            <v>HWETEMPS</v>
          </cell>
          <cell r="E26">
            <v>6</v>
          </cell>
          <cell r="G26" t="str">
            <v>Residential DHW insulation</v>
          </cell>
          <cell r="L26" t="str">
            <v>Need Input</v>
          </cell>
        </row>
        <row r="27">
          <cell r="A27" t="str">
            <v>Waterbed pad</v>
          </cell>
          <cell r="B27">
            <v>27</v>
          </cell>
          <cell r="C27" t="str">
            <v>HWE</v>
          </cell>
          <cell r="D27" t="str">
            <v>HWEWBPAD</v>
          </cell>
          <cell r="E27">
            <v>6</v>
          </cell>
          <cell r="G27" t="str">
            <v>Residential DHW insulation</v>
          </cell>
          <cell r="L27" t="str">
            <v>Need Input</v>
          </cell>
        </row>
        <row r="28">
          <cell r="A28" t="str">
            <v>Replace hot water, indirect fired oil</v>
          </cell>
          <cell r="B28">
            <v>28</v>
          </cell>
          <cell r="C28" t="str">
            <v>HWR</v>
          </cell>
          <cell r="D28" t="str">
            <v>HWRNFOIL</v>
          </cell>
          <cell r="E28">
            <v>15</v>
          </cell>
          <cell r="G28" t="str">
            <v>Residential DHW conserve</v>
          </cell>
          <cell r="H28" t="str">
            <v>Oil stand alone</v>
          </cell>
          <cell r="I28" t="str">
            <v xml:space="preserve">Com. Distillate </v>
          </cell>
          <cell r="L28">
            <v>1500</v>
          </cell>
        </row>
        <row r="29">
          <cell r="A29" t="str">
            <v>Replace hot water, indirect fired natural gas</v>
          </cell>
          <cell r="B29">
            <v>29</v>
          </cell>
          <cell r="C29" t="str">
            <v>HWR</v>
          </cell>
          <cell r="D29" t="str">
            <v>HWRNNGAS</v>
          </cell>
          <cell r="E29">
            <v>15</v>
          </cell>
          <cell r="G29" t="str">
            <v>Residential DHW conserve</v>
          </cell>
          <cell r="H29" t="str">
            <v>NG stand alone</v>
          </cell>
          <cell r="I29" t="str">
            <v>Com. Natural Gas</v>
          </cell>
          <cell r="L29">
            <v>1500</v>
          </cell>
        </row>
        <row r="30">
          <cell r="A30" t="str">
            <v>Replace hot water, indirect propane</v>
          </cell>
          <cell r="B30">
            <v>30</v>
          </cell>
          <cell r="C30" t="str">
            <v>HWR</v>
          </cell>
          <cell r="D30" t="str">
            <v>HWRNPROP</v>
          </cell>
          <cell r="E30">
            <v>15</v>
          </cell>
          <cell r="G30" t="str">
            <v>Residential DHW conserve</v>
          </cell>
          <cell r="H30" t="str">
            <v>Propane stand alone</v>
          </cell>
          <cell r="I30" t="str">
            <v xml:space="preserve">Com. LPG </v>
          </cell>
          <cell r="L30">
            <v>1500</v>
          </cell>
        </row>
        <row r="31">
          <cell r="A31" t="str">
            <v>Replace hot water, indirect fired wood</v>
          </cell>
          <cell r="B31">
            <v>31</v>
          </cell>
          <cell r="C31" t="str">
            <v>HWR</v>
          </cell>
          <cell r="D31" t="str">
            <v>HWRNWOOD</v>
          </cell>
          <cell r="E31">
            <v>15</v>
          </cell>
          <cell r="G31" t="str">
            <v>Residential DHW conserve</v>
          </cell>
          <cell r="H31" t="str">
            <v>Wood</v>
          </cell>
          <cell r="I31" t="str">
            <v>Wood</v>
          </cell>
          <cell r="L31">
            <v>1500</v>
          </cell>
        </row>
        <row r="32">
          <cell r="A32" t="str">
            <v>Replace hot water, stand alone oil</v>
          </cell>
          <cell r="B32">
            <v>32</v>
          </cell>
          <cell r="C32" t="str">
            <v>HWR</v>
          </cell>
          <cell r="D32" t="str">
            <v>HWRSFOIL</v>
          </cell>
          <cell r="E32">
            <v>10</v>
          </cell>
          <cell r="G32" t="str">
            <v>Residential DHW conserve</v>
          </cell>
          <cell r="H32" t="str">
            <v>Oil stand alone</v>
          </cell>
          <cell r="I32" t="str">
            <v xml:space="preserve">Com. Distillate </v>
          </cell>
          <cell r="L32">
            <v>800</v>
          </cell>
        </row>
        <row r="33">
          <cell r="A33" t="str">
            <v>Replace hot water, stand alone natural gas</v>
          </cell>
          <cell r="B33">
            <v>33</v>
          </cell>
          <cell r="C33" t="str">
            <v>HWR</v>
          </cell>
          <cell r="D33" t="str">
            <v>HWRSNGAS</v>
          </cell>
          <cell r="E33">
            <v>13</v>
          </cell>
          <cell r="G33" t="str">
            <v>Residential DHW conserve</v>
          </cell>
          <cell r="H33" t="str">
            <v>NG stand alone</v>
          </cell>
          <cell r="I33" t="str">
            <v>Com. Natural Gas</v>
          </cell>
          <cell r="L33">
            <v>800</v>
          </cell>
        </row>
        <row r="34">
          <cell r="A34" t="str">
            <v>Replace hot water, stand alone propane</v>
          </cell>
          <cell r="B34">
            <v>34</v>
          </cell>
          <cell r="C34" t="str">
            <v>HWR</v>
          </cell>
          <cell r="D34" t="str">
            <v>HWRSPROP</v>
          </cell>
          <cell r="E34">
            <v>13</v>
          </cell>
          <cell r="G34" t="str">
            <v>Residential DHW conserve</v>
          </cell>
          <cell r="H34" t="str">
            <v>Propane stand alone</v>
          </cell>
          <cell r="I34" t="str">
            <v xml:space="preserve">Com. LPG </v>
          </cell>
          <cell r="L34">
            <v>800</v>
          </cell>
        </row>
        <row r="35">
          <cell r="A35" t="str">
            <v>Replace hot water, stand alone wood</v>
          </cell>
          <cell r="B35">
            <v>35</v>
          </cell>
          <cell r="C35" t="str">
            <v>HWR</v>
          </cell>
          <cell r="D35" t="str">
            <v>HWRSWOOD</v>
          </cell>
          <cell r="E35">
            <v>13</v>
          </cell>
          <cell r="G35" t="str">
            <v>Residential DHW conserve</v>
          </cell>
          <cell r="H35" t="str">
            <v>Wood</v>
          </cell>
          <cell r="I35" t="str">
            <v>Wood</v>
          </cell>
          <cell r="L35">
            <v>800</v>
          </cell>
        </row>
        <row r="36">
          <cell r="A36" t="str">
            <v>Replace hot water, continuous flow kerosene</v>
          </cell>
          <cell r="B36">
            <v>36</v>
          </cell>
          <cell r="C36" t="str">
            <v>HWR</v>
          </cell>
          <cell r="D36" t="str">
            <v>HWRCKERO</v>
          </cell>
          <cell r="E36">
            <v>15</v>
          </cell>
          <cell r="G36" t="str">
            <v>Residential DHW conserve</v>
          </cell>
          <cell r="H36" t="str">
            <v>Kerosene</v>
          </cell>
          <cell r="I36" t="str">
            <v>Kerosene</v>
          </cell>
          <cell r="L36" t="str">
            <v>Need Input</v>
          </cell>
        </row>
        <row r="37">
          <cell r="A37" t="str">
            <v>Replace hot water, continuous flow natural gas</v>
          </cell>
          <cell r="B37">
            <v>37</v>
          </cell>
          <cell r="C37" t="str">
            <v>HWR</v>
          </cell>
          <cell r="D37" t="str">
            <v>HWRCNGAS</v>
          </cell>
          <cell r="E37">
            <v>15</v>
          </cell>
          <cell r="G37" t="str">
            <v>Residential DHW conserve</v>
          </cell>
          <cell r="H37" t="str">
            <v>NG stand alone</v>
          </cell>
          <cell r="I37" t="str">
            <v>Com. Natural Gas</v>
          </cell>
          <cell r="L37" t="str">
            <v>Need Input</v>
          </cell>
        </row>
        <row r="38">
          <cell r="A38" t="str">
            <v>Replace hot water, continuous flow propane</v>
          </cell>
          <cell r="B38">
            <v>38</v>
          </cell>
          <cell r="C38" t="str">
            <v>HWR</v>
          </cell>
          <cell r="D38" t="str">
            <v>HWRCPROP</v>
          </cell>
          <cell r="E38">
            <v>15</v>
          </cell>
          <cell r="G38" t="str">
            <v>Residential DHW conserve</v>
          </cell>
          <cell r="H38" t="str">
            <v>Propane stand alone</v>
          </cell>
          <cell r="I38" t="str">
            <v xml:space="preserve">Com. LPG </v>
          </cell>
          <cell r="L38" t="str">
            <v>Need Input</v>
          </cell>
        </row>
        <row r="39">
          <cell r="A39" t="str">
            <v>Replace hot water, continuous flow oil</v>
          </cell>
          <cell r="B39">
            <v>39</v>
          </cell>
          <cell r="C39" t="str">
            <v>HWR</v>
          </cell>
          <cell r="D39" t="str">
            <v>HWRCFOIL</v>
          </cell>
          <cell r="E39">
            <v>15</v>
          </cell>
          <cell r="G39" t="str">
            <v>Residential DHW conserve</v>
          </cell>
          <cell r="H39" t="str">
            <v>Oil stand alone</v>
          </cell>
          <cell r="I39" t="str">
            <v xml:space="preserve">Com. Distillate </v>
          </cell>
          <cell r="L39" t="str">
            <v>Need Input</v>
          </cell>
        </row>
        <row r="40">
          <cell r="A40" t="str">
            <v>Electric fuel switch, dryer natural gas</v>
          </cell>
          <cell r="B40">
            <v>40</v>
          </cell>
          <cell r="C40" t="str">
            <v>LAU</v>
          </cell>
          <cell r="D40" t="str">
            <v>OTFYNGAS</v>
          </cell>
          <cell r="E40">
            <v>30</v>
          </cell>
          <cell r="F40">
            <v>14</v>
          </cell>
          <cell r="G40" t="str">
            <v>Residential Clothes Washer</v>
          </cell>
          <cell r="I40" t="str">
            <v>Com. Natural Gas</v>
          </cell>
          <cell r="L40">
            <v>375</v>
          </cell>
        </row>
        <row r="41">
          <cell r="A41" t="str">
            <v>Electric fuel switch, dryer propane</v>
          </cell>
          <cell r="B41">
            <v>41</v>
          </cell>
          <cell r="C41" t="str">
            <v>LAU</v>
          </cell>
          <cell r="D41" t="str">
            <v>OTFYPROP</v>
          </cell>
          <cell r="E41">
            <v>30</v>
          </cell>
          <cell r="F41">
            <v>14</v>
          </cell>
          <cell r="G41" t="str">
            <v>Residential Clothes Washer</v>
          </cell>
          <cell r="I41" t="str">
            <v xml:space="preserve">Com. LPG </v>
          </cell>
          <cell r="L41">
            <v>375</v>
          </cell>
        </row>
        <row r="42">
          <cell r="A42" t="str">
            <v>Commercial efficient clothes washer, with oil hot water</v>
          </cell>
          <cell r="B42">
            <v>42</v>
          </cell>
          <cell r="C42" t="str">
            <v>LAU</v>
          </cell>
          <cell r="D42" t="str">
            <v>CKLCWASH</v>
          </cell>
          <cell r="E42">
            <v>14</v>
          </cell>
          <cell r="F42">
            <v>14</v>
          </cell>
          <cell r="G42" t="str">
            <v>Residential Clothes Washer</v>
          </cell>
          <cell r="I42" t="str">
            <v xml:space="preserve">Com. Distillate </v>
          </cell>
          <cell r="L42">
            <v>750</v>
          </cell>
        </row>
        <row r="43">
          <cell r="A43" t="str">
            <v>Commercial efficient clothes washer, with natural gas hot water</v>
          </cell>
          <cell r="B43">
            <v>43</v>
          </cell>
          <cell r="C43" t="str">
            <v>LAU</v>
          </cell>
          <cell r="D43" t="str">
            <v>CKLCWASH</v>
          </cell>
          <cell r="E43">
            <v>14</v>
          </cell>
          <cell r="F43">
            <v>14</v>
          </cell>
          <cell r="G43" t="str">
            <v>Residential Clothes Washer</v>
          </cell>
          <cell r="I43" t="str">
            <v>Com. Natural Gas</v>
          </cell>
          <cell r="L43">
            <v>750</v>
          </cell>
        </row>
        <row r="44">
          <cell r="A44" t="str">
            <v>Commercial efficient clothes washer, with propane hot water</v>
          </cell>
          <cell r="B44">
            <v>44</v>
          </cell>
          <cell r="C44" t="str">
            <v>LAU</v>
          </cell>
          <cell r="D44" t="str">
            <v>CKLCWASH</v>
          </cell>
          <cell r="E44">
            <v>14</v>
          </cell>
          <cell r="F44">
            <v>14</v>
          </cell>
          <cell r="G44" t="str">
            <v>Residential Clothes Washer</v>
          </cell>
          <cell r="I44" t="str">
            <v xml:space="preserve">Com. LPG </v>
          </cell>
          <cell r="L44">
            <v>750</v>
          </cell>
        </row>
        <row r="45">
          <cell r="A45" t="str">
            <v>Commercial efficient clothes washer, with electric hot water</v>
          </cell>
          <cell r="B45">
            <v>45</v>
          </cell>
          <cell r="C45" t="str">
            <v>LAU</v>
          </cell>
          <cell r="D45" t="str">
            <v>CKLCWASH</v>
          </cell>
          <cell r="E45">
            <v>14</v>
          </cell>
          <cell r="F45">
            <v>14</v>
          </cell>
          <cell r="G45" t="str">
            <v>Residential Clothes Washer</v>
          </cell>
          <cell r="L45">
            <v>750</v>
          </cell>
        </row>
        <row r="46">
          <cell r="A46" t="str">
            <v>Residential Energy Star clothes washer, with oil hot water</v>
          </cell>
          <cell r="B46">
            <v>46</v>
          </cell>
          <cell r="C46" t="str">
            <v>LAU</v>
          </cell>
          <cell r="D46" t="str">
            <v>CKLESWRP</v>
          </cell>
          <cell r="E46">
            <v>14</v>
          </cell>
          <cell r="F46">
            <v>14</v>
          </cell>
          <cell r="G46" t="str">
            <v>Residential Clothes Washer</v>
          </cell>
          <cell r="I46" t="str">
            <v xml:space="preserve">Com. Distillate </v>
          </cell>
          <cell r="L46">
            <v>400</v>
          </cell>
        </row>
        <row r="47">
          <cell r="A47" t="str">
            <v>Residential Energy Star clothes washer, with natural gas hot water</v>
          </cell>
          <cell r="B47">
            <v>47</v>
          </cell>
          <cell r="C47" t="str">
            <v>LAU</v>
          </cell>
          <cell r="D47" t="str">
            <v>CKLESWRP</v>
          </cell>
          <cell r="E47">
            <v>14</v>
          </cell>
          <cell r="F47">
            <v>14</v>
          </cell>
          <cell r="G47" t="str">
            <v>Residential Clothes Washer</v>
          </cell>
          <cell r="I47" t="str">
            <v>Com. Natural Gas</v>
          </cell>
          <cell r="L47">
            <v>400</v>
          </cell>
        </row>
        <row r="48">
          <cell r="A48" t="str">
            <v>Residential Energy Star clothes washer, with propane hot water</v>
          </cell>
          <cell r="B48">
            <v>48</v>
          </cell>
          <cell r="C48" t="str">
            <v>LAU</v>
          </cell>
          <cell r="D48" t="str">
            <v>CKLESWRP</v>
          </cell>
          <cell r="E48">
            <v>14</v>
          </cell>
          <cell r="F48">
            <v>14</v>
          </cell>
          <cell r="G48" t="str">
            <v>Residential Clothes Washer</v>
          </cell>
          <cell r="I48" t="str">
            <v xml:space="preserve">Com. LPG </v>
          </cell>
          <cell r="L48">
            <v>400</v>
          </cell>
        </row>
        <row r="49">
          <cell r="A49" t="str">
            <v>Residential Energy Star clothes washer, with electric hot water</v>
          </cell>
          <cell r="B49">
            <v>49</v>
          </cell>
          <cell r="C49" t="str">
            <v>LAU</v>
          </cell>
          <cell r="D49" t="str">
            <v>CKLESWRP</v>
          </cell>
          <cell r="E49">
            <v>14</v>
          </cell>
          <cell r="F49">
            <v>14</v>
          </cell>
          <cell r="G49" t="str">
            <v>Residential Clothes Washer</v>
          </cell>
          <cell r="L49">
            <v>400</v>
          </cell>
        </row>
        <row r="50">
          <cell r="A50" t="str">
            <v>Dryer usage reductions, natural gas</v>
          </cell>
          <cell r="B50">
            <v>50</v>
          </cell>
          <cell r="C50" t="str">
            <v>LAU</v>
          </cell>
          <cell r="D50" t="str">
            <v>CKLDYRED</v>
          </cell>
          <cell r="E50">
            <v>10</v>
          </cell>
          <cell r="G50" t="str">
            <v>Residential Clothes Washer</v>
          </cell>
          <cell r="I50" t="str">
            <v>Com. Natural Gas</v>
          </cell>
          <cell r="L50" t="str">
            <v>Need Input</v>
          </cell>
        </row>
        <row r="51">
          <cell r="A51" t="str">
            <v>Dryer usage reductions, propane</v>
          </cell>
          <cell r="B51">
            <v>51</v>
          </cell>
          <cell r="C51" t="str">
            <v>LAU</v>
          </cell>
          <cell r="D51" t="str">
            <v>CKLDYRED</v>
          </cell>
          <cell r="E51">
            <v>10</v>
          </cell>
          <cell r="G51" t="str">
            <v>Residential Clothes Washer</v>
          </cell>
          <cell r="I51" t="str">
            <v xml:space="preserve">Res. High-Use LPG </v>
          </cell>
          <cell r="L51" t="str">
            <v>Need Input</v>
          </cell>
        </row>
        <row r="52">
          <cell r="A52" t="str">
            <v>Dryer usage reductions</v>
          </cell>
          <cell r="B52">
            <v>52</v>
          </cell>
          <cell r="C52" t="str">
            <v>LAU</v>
          </cell>
          <cell r="D52" t="str">
            <v>CKLDYRED</v>
          </cell>
          <cell r="E52">
            <v>10</v>
          </cell>
          <cell r="G52" t="str">
            <v>Residential Clothes Washer</v>
          </cell>
          <cell r="L52" t="str">
            <v>Need Input</v>
          </cell>
        </row>
        <row r="53">
          <cell r="A53" t="str">
            <v>Dryer Duct improvement</v>
          </cell>
          <cell r="B53">
            <v>53</v>
          </cell>
          <cell r="C53" t="str">
            <v>LAU</v>
          </cell>
          <cell r="D53" t="str">
            <v>CKLYDUCT</v>
          </cell>
          <cell r="E53">
            <v>5</v>
          </cell>
          <cell r="G53" t="str">
            <v>Residential Clothes Washer</v>
          </cell>
          <cell r="L53" t="str">
            <v>Need Input</v>
          </cell>
        </row>
        <row r="54">
          <cell r="A54" t="str">
            <v>LISF - HW elec. fuel switch to stand alone oil dhw</v>
          </cell>
          <cell r="B54">
            <v>54</v>
          </cell>
          <cell r="C54" t="str">
            <v>LFS</v>
          </cell>
          <cell r="D54" t="str">
            <v>HWFSFOIL</v>
          </cell>
          <cell r="E54">
            <v>30</v>
          </cell>
          <cell r="F54">
            <v>10</v>
          </cell>
          <cell r="G54" t="str">
            <v>Residential DHW fuel switch</v>
          </cell>
          <cell r="I54" t="str">
            <v xml:space="preserve">Res. Distillate </v>
          </cell>
          <cell r="J54" t="str">
            <v>Need Input</v>
          </cell>
          <cell r="K54">
            <v>0.64</v>
          </cell>
          <cell r="L54" t="str">
            <v>Need Input</v>
          </cell>
          <cell r="P54">
            <v>15</v>
          </cell>
          <cell r="Q54">
            <v>35</v>
          </cell>
          <cell r="R54">
            <v>1600</v>
          </cell>
        </row>
        <row r="55">
          <cell r="A55" t="str">
            <v>LISF - HW elec. fuel switch to stand alone LP dhw</v>
          </cell>
          <cell r="B55">
            <v>55</v>
          </cell>
          <cell r="C55" t="str">
            <v>LFS</v>
          </cell>
          <cell r="D55" t="str">
            <v>HWFSPROP</v>
          </cell>
          <cell r="E55">
            <v>30</v>
          </cell>
          <cell r="F55">
            <v>13</v>
          </cell>
          <cell r="G55" t="str">
            <v>Residential DHW fuel switch</v>
          </cell>
          <cell r="I55" t="str">
            <v xml:space="preserve">Res. High-Use LPG </v>
          </cell>
          <cell r="J55" t="str">
            <v>Need Input</v>
          </cell>
          <cell r="K55">
            <v>0.61</v>
          </cell>
          <cell r="L55" t="str">
            <v>Need Input</v>
          </cell>
          <cell r="P55">
            <v>15</v>
          </cell>
          <cell r="Q55">
            <v>17</v>
          </cell>
          <cell r="R55">
            <v>950</v>
          </cell>
        </row>
        <row r="56">
          <cell r="A56" t="str">
            <v>LISF - HW elec. fuel switch to stand alone NG dhw</v>
          </cell>
          <cell r="B56">
            <v>56</v>
          </cell>
          <cell r="C56" t="str">
            <v>LFS</v>
          </cell>
          <cell r="D56" t="str">
            <v>HWFSNGAS</v>
          </cell>
          <cell r="E56">
            <v>30</v>
          </cell>
          <cell r="F56">
            <v>13</v>
          </cell>
          <cell r="G56" t="str">
            <v>Residential DHW fuel switch</v>
          </cell>
          <cell r="I56" t="str">
            <v xml:space="preserve">Res. Natural Gas </v>
          </cell>
          <cell r="J56" t="str">
            <v>Need Input</v>
          </cell>
          <cell r="K56">
            <v>0.61</v>
          </cell>
          <cell r="L56" t="str">
            <v>Need Input</v>
          </cell>
          <cell r="P56">
            <v>15</v>
          </cell>
          <cell r="Q56">
            <v>17</v>
          </cell>
          <cell r="R56">
            <v>950</v>
          </cell>
        </row>
        <row r="57">
          <cell r="A57" t="str">
            <v>LISF - HW elec. fuel switch to inst. kerosene Water Heater</v>
          </cell>
          <cell r="B57">
            <v>57</v>
          </cell>
          <cell r="C57" t="str">
            <v>LFS</v>
          </cell>
          <cell r="D57" t="str">
            <v>HWFCKERO</v>
          </cell>
          <cell r="E57">
            <v>30</v>
          </cell>
          <cell r="F57">
            <v>15</v>
          </cell>
          <cell r="G57" t="str">
            <v>Residential DHW fuel switch</v>
          </cell>
          <cell r="I57" t="str">
            <v>Kerosene</v>
          </cell>
          <cell r="J57" t="str">
            <v>Need Input</v>
          </cell>
          <cell r="K57">
            <v>0.88</v>
          </cell>
          <cell r="L57" t="str">
            <v>Need Input</v>
          </cell>
          <cell r="P57">
            <v>15</v>
          </cell>
          <cell r="Q57">
            <v>35</v>
          </cell>
          <cell r="R57">
            <v>2300</v>
          </cell>
        </row>
        <row r="58">
          <cell r="A58" t="str">
            <v>LISF - HW elec. fuel switch to inst. oil Water Heater</v>
          </cell>
          <cell r="B58">
            <v>58</v>
          </cell>
          <cell r="C58" t="str">
            <v>LFS</v>
          </cell>
          <cell r="D58" t="str">
            <v>HWFCFOIL</v>
          </cell>
          <cell r="E58">
            <v>30</v>
          </cell>
          <cell r="F58">
            <v>15</v>
          </cell>
          <cell r="G58" t="str">
            <v>Residential DHW fuel switch</v>
          </cell>
          <cell r="I58" t="str">
            <v xml:space="preserve">Res. Distillate </v>
          </cell>
          <cell r="J58" t="str">
            <v>Need Input</v>
          </cell>
          <cell r="K58">
            <v>0.88</v>
          </cell>
          <cell r="L58" t="str">
            <v>Need Input</v>
          </cell>
          <cell r="P58">
            <v>15</v>
          </cell>
          <cell r="Q58">
            <v>35</v>
          </cell>
          <cell r="R58">
            <v>2300</v>
          </cell>
        </row>
        <row r="59">
          <cell r="A59" t="str">
            <v>LISF - HW elec. fuel switch to inst. LP Water Heater</v>
          </cell>
          <cell r="B59">
            <v>59</v>
          </cell>
          <cell r="C59" t="str">
            <v>LFS</v>
          </cell>
          <cell r="D59" t="str">
            <v>HWFCPROP</v>
          </cell>
          <cell r="E59">
            <v>30</v>
          </cell>
          <cell r="F59">
            <v>15</v>
          </cell>
          <cell r="G59" t="str">
            <v>Residential DHW fuel switch</v>
          </cell>
          <cell r="I59" t="str">
            <v xml:space="preserve">Res. High-Use LPG </v>
          </cell>
          <cell r="J59" t="str">
            <v>Need Input</v>
          </cell>
          <cell r="K59">
            <v>0.82</v>
          </cell>
          <cell r="L59" t="str">
            <v>Need Input</v>
          </cell>
          <cell r="P59">
            <v>15</v>
          </cell>
          <cell r="Q59">
            <v>35</v>
          </cell>
          <cell r="R59">
            <v>2000</v>
          </cell>
        </row>
        <row r="60">
          <cell r="A60" t="str">
            <v>LISF - HW elec. fuel switch to inst. NG Water Heater</v>
          </cell>
          <cell r="B60">
            <v>60</v>
          </cell>
          <cell r="C60" t="str">
            <v>LFS</v>
          </cell>
          <cell r="D60" t="str">
            <v>HWFCNGAS</v>
          </cell>
          <cell r="E60">
            <v>30</v>
          </cell>
          <cell r="F60">
            <v>15</v>
          </cell>
          <cell r="G60" t="str">
            <v>Residential DHW fuel switch</v>
          </cell>
          <cell r="I60" t="str">
            <v xml:space="preserve">Res. Natural Gas </v>
          </cell>
          <cell r="J60" t="str">
            <v>Need Input</v>
          </cell>
          <cell r="K60">
            <v>0.82</v>
          </cell>
          <cell r="L60" t="str">
            <v>Need Input</v>
          </cell>
          <cell r="P60">
            <v>15</v>
          </cell>
          <cell r="Q60">
            <v>35</v>
          </cell>
          <cell r="R60">
            <v>2000</v>
          </cell>
        </row>
        <row r="61">
          <cell r="A61" t="str">
            <v>LISF - HW elec. fuel switch to integrated oil dhw</v>
          </cell>
          <cell r="B61">
            <v>61</v>
          </cell>
          <cell r="C61" t="str">
            <v>LFS</v>
          </cell>
          <cell r="D61" t="str">
            <v>HWFNFOIL</v>
          </cell>
          <cell r="E61">
            <v>30</v>
          </cell>
          <cell r="F61">
            <v>15</v>
          </cell>
          <cell r="G61" t="str">
            <v>Residential DHW fuel switch</v>
          </cell>
          <cell r="I61" t="str">
            <v xml:space="preserve">Res. Distillate </v>
          </cell>
          <cell r="J61" t="str">
            <v>Need Input</v>
          </cell>
          <cell r="K61">
            <v>0.75</v>
          </cell>
          <cell r="L61" t="str">
            <v>Need Input</v>
          </cell>
          <cell r="P61">
            <v>15</v>
          </cell>
          <cell r="Q61">
            <v>10</v>
          </cell>
          <cell r="R61">
            <v>1500</v>
          </cell>
        </row>
        <row r="62">
          <cell r="A62" t="str">
            <v>LISF - HW elec. fuel switch to integrated LP dhw</v>
          </cell>
          <cell r="B62">
            <v>62</v>
          </cell>
          <cell r="C62" t="str">
            <v>LFS</v>
          </cell>
          <cell r="D62" t="str">
            <v>HWFNPROP</v>
          </cell>
          <cell r="E62">
            <v>30</v>
          </cell>
          <cell r="F62">
            <v>15</v>
          </cell>
          <cell r="G62" t="str">
            <v>Residential DHW fuel switch</v>
          </cell>
          <cell r="I62" t="str">
            <v xml:space="preserve">Res. High-Use LPG </v>
          </cell>
          <cell r="J62" t="str">
            <v>Need Input</v>
          </cell>
          <cell r="K62">
            <v>0.75</v>
          </cell>
          <cell r="L62" t="str">
            <v>Need Input</v>
          </cell>
          <cell r="P62">
            <v>15</v>
          </cell>
          <cell r="Q62">
            <v>10</v>
          </cell>
          <cell r="R62">
            <v>1500</v>
          </cell>
        </row>
        <row r="63">
          <cell r="A63" t="str">
            <v>LISF - HW elec. fuel switch to integrated NG dhw</v>
          </cell>
          <cell r="B63">
            <v>63</v>
          </cell>
          <cell r="C63" t="str">
            <v>LFS</v>
          </cell>
          <cell r="D63" t="str">
            <v>HWFNNGAS</v>
          </cell>
          <cell r="E63">
            <v>30</v>
          </cell>
          <cell r="F63">
            <v>15</v>
          </cell>
          <cell r="G63" t="str">
            <v>Residential DHW fuel switch</v>
          </cell>
          <cell r="I63" t="str">
            <v xml:space="preserve">Res. Natural Gas </v>
          </cell>
          <cell r="J63" t="str">
            <v>Need Input</v>
          </cell>
          <cell r="K63">
            <v>0.75</v>
          </cell>
          <cell r="L63" t="str">
            <v>Need Input</v>
          </cell>
          <cell r="P63">
            <v>15</v>
          </cell>
          <cell r="Q63">
            <v>10</v>
          </cell>
          <cell r="R63">
            <v>1500</v>
          </cell>
        </row>
        <row r="64">
          <cell r="A64" t="str">
            <v>LISF - Oil boiler</v>
          </cell>
          <cell r="B64">
            <v>64</v>
          </cell>
          <cell r="C64" t="str">
            <v>LFS</v>
          </cell>
          <cell r="D64" t="str">
            <v>SHFBFOIL</v>
          </cell>
          <cell r="E64">
            <v>30</v>
          </cell>
          <cell r="F64">
            <v>25</v>
          </cell>
          <cell r="G64" t="str">
            <v>Residential Space heat</v>
          </cell>
          <cell r="I64" t="str">
            <v xml:space="preserve">Res. Distillate </v>
          </cell>
          <cell r="J64">
            <v>1</v>
          </cell>
          <cell r="K64">
            <v>0.83</v>
          </cell>
          <cell r="L64" t="str">
            <v>Need Input</v>
          </cell>
          <cell r="P64">
            <v>30</v>
          </cell>
          <cell r="Q64">
            <v>75</v>
          </cell>
          <cell r="R64">
            <v>2500</v>
          </cell>
        </row>
        <row r="65">
          <cell r="A65" t="str">
            <v>LISF - LP Boiler</v>
          </cell>
          <cell r="B65">
            <v>65</v>
          </cell>
          <cell r="C65" t="str">
            <v>LFS</v>
          </cell>
          <cell r="D65" t="str">
            <v>SHFBPROP</v>
          </cell>
          <cell r="E65">
            <v>30</v>
          </cell>
          <cell r="F65">
            <v>25</v>
          </cell>
          <cell r="G65" t="str">
            <v>Residential Space heat</v>
          </cell>
          <cell r="I65" t="str">
            <v xml:space="preserve">Res. High-Use LPG </v>
          </cell>
          <cell r="J65">
            <v>1</v>
          </cell>
          <cell r="K65">
            <v>0.85</v>
          </cell>
          <cell r="L65" t="str">
            <v>Need Input</v>
          </cell>
          <cell r="P65">
            <v>30</v>
          </cell>
          <cell r="Q65">
            <v>35</v>
          </cell>
          <cell r="R65">
            <v>2500</v>
          </cell>
        </row>
        <row r="66">
          <cell r="A66" t="str">
            <v>LISF - NG Boiler</v>
          </cell>
          <cell r="B66">
            <v>66</v>
          </cell>
          <cell r="C66" t="str">
            <v>LFS</v>
          </cell>
          <cell r="D66" t="str">
            <v>SHFBNGAS</v>
          </cell>
          <cell r="E66">
            <v>30</v>
          </cell>
          <cell r="F66">
            <v>25</v>
          </cell>
          <cell r="G66" t="str">
            <v>Residential Space heat</v>
          </cell>
          <cell r="I66" t="str">
            <v xml:space="preserve">Res. Natural Gas </v>
          </cell>
          <cell r="J66">
            <v>1</v>
          </cell>
          <cell r="K66">
            <v>0.85</v>
          </cell>
          <cell r="L66" t="str">
            <v>Need Input</v>
          </cell>
          <cell r="P66">
            <v>30</v>
          </cell>
          <cell r="Q66">
            <v>35</v>
          </cell>
          <cell r="R66">
            <v>2500</v>
          </cell>
        </row>
        <row r="67">
          <cell r="A67" t="str">
            <v>LISF - Oil Furnace</v>
          </cell>
          <cell r="B67">
            <v>67</v>
          </cell>
          <cell r="C67" t="str">
            <v>LFS</v>
          </cell>
          <cell r="D67" t="str">
            <v>SHFFFOIL</v>
          </cell>
          <cell r="E67">
            <v>30</v>
          </cell>
          <cell r="F67">
            <v>20</v>
          </cell>
          <cell r="G67" t="str">
            <v>Residential Space heat</v>
          </cell>
          <cell r="I67" t="str">
            <v xml:space="preserve">Res. Distillate </v>
          </cell>
          <cell r="J67">
            <v>1</v>
          </cell>
          <cell r="K67">
            <v>0.83</v>
          </cell>
          <cell r="L67" t="str">
            <v>Need Input</v>
          </cell>
          <cell r="P67">
            <v>30</v>
          </cell>
          <cell r="Q67">
            <v>75</v>
          </cell>
          <cell r="R67">
            <v>2000</v>
          </cell>
        </row>
        <row r="68">
          <cell r="A68" t="str">
            <v>LISF - LP Furnace</v>
          </cell>
          <cell r="B68">
            <v>68</v>
          </cell>
          <cell r="C68" t="str">
            <v>LFS</v>
          </cell>
          <cell r="D68" t="str">
            <v>SHFFPROP</v>
          </cell>
          <cell r="E68">
            <v>30</v>
          </cell>
          <cell r="F68">
            <v>20</v>
          </cell>
          <cell r="G68" t="str">
            <v>Residential Space heat</v>
          </cell>
          <cell r="I68" t="str">
            <v xml:space="preserve">Res. High-Use LPG </v>
          </cell>
          <cell r="J68">
            <v>1</v>
          </cell>
          <cell r="K68">
            <v>0.85</v>
          </cell>
          <cell r="L68" t="str">
            <v>Need Input</v>
          </cell>
          <cell r="P68">
            <v>30</v>
          </cell>
          <cell r="Q68">
            <v>35</v>
          </cell>
          <cell r="R68">
            <v>2000</v>
          </cell>
        </row>
        <row r="69">
          <cell r="A69" t="str">
            <v>LISF - NG Furnace</v>
          </cell>
          <cell r="B69">
            <v>69</v>
          </cell>
          <cell r="C69" t="str">
            <v>LFS</v>
          </cell>
          <cell r="D69" t="str">
            <v>SHFFNGAS</v>
          </cell>
          <cell r="E69">
            <v>30</v>
          </cell>
          <cell r="F69">
            <v>20</v>
          </cell>
          <cell r="G69" t="str">
            <v>Residential Space heat</v>
          </cell>
          <cell r="I69" t="str">
            <v xml:space="preserve">Res. Natural Gas </v>
          </cell>
          <cell r="J69">
            <v>1</v>
          </cell>
          <cell r="K69">
            <v>0.85</v>
          </cell>
          <cell r="L69" t="str">
            <v>Need Input</v>
          </cell>
          <cell r="P69">
            <v>30</v>
          </cell>
          <cell r="Q69">
            <v>35</v>
          </cell>
          <cell r="R69">
            <v>2000</v>
          </cell>
        </row>
        <row r="70">
          <cell r="A70" t="str">
            <v>LISF - LP Space Heater</v>
          </cell>
          <cell r="B70">
            <v>70</v>
          </cell>
          <cell r="C70" t="str">
            <v>LFS</v>
          </cell>
          <cell r="D70" t="str">
            <v>SHFHPROP</v>
          </cell>
          <cell r="E70">
            <v>30</v>
          </cell>
          <cell r="F70">
            <v>15</v>
          </cell>
          <cell r="G70" t="str">
            <v>Residential Space heat</v>
          </cell>
          <cell r="I70" t="str">
            <v xml:space="preserve">Res. High-Use LPG </v>
          </cell>
          <cell r="J70">
            <v>1</v>
          </cell>
          <cell r="K70">
            <v>0.8</v>
          </cell>
          <cell r="L70" t="str">
            <v>Need Input</v>
          </cell>
          <cell r="P70">
            <v>30</v>
          </cell>
          <cell r="Q70">
            <v>10</v>
          </cell>
          <cell r="R70">
            <v>1800</v>
          </cell>
        </row>
        <row r="71">
          <cell r="A71" t="str">
            <v>LISF - NG Space Heater</v>
          </cell>
          <cell r="B71">
            <v>71</v>
          </cell>
          <cell r="C71" t="str">
            <v>LFS</v>
          </cell>
          <cell r="D71" t="str">
            <v>SHFHNGAS</v>
          </cell>
          <cell r="E71">
            <v>30</v>
          </cell>
          <cell r="F71">
            <v>15</v>
          </cell>
          <cell r="G71" t="str">
            <v>Residential Space heat</v>
          </cell>
          <cell r="I71" t="str">
            <v xml:space="preserve">Res. Natural Gas </v>
          </cell>
          <cell r="J71">
            <v>1</v>
          </cell>
          <cell r="K71">
            <v>0.8</v>
          </cell>
          <cell r="L71" t="str">
            <v>Need Input</v>
          </cell>
          <cell r="P71">
            <v>30</v>
          </cell>
          <cell r="Q71">
            <v>10</v>
          </cell>
          <cell r="R71">
            <v>1800</v>
          </cell>
        </row>
        <row r="72">
          <cell r="A72" t="str">
            <v>LISF - Kero Space heater</v>
          </cell>
          <cell r="B72">
            <v>72</v>
          </cell>
          <cell r="C72" t="str">
            <v>LFS</v>
          </cell>
          <cell r="D72" t="str">
            <v>SHFHKERO</v>
          </cell>
          <cell r="E72">
            <v>30</v>
          </cell>
          <cell r="F72">
            <v>15</v>
          </cell>
          <cell r="G72" t="str">
            <v>Residential Space heat</v>
          </cell>
          <cell r="I72" t="str">
            <v>Kerosene</v>
          </cell>
          <cell r="J72">
            <v>1</v>
          </cell>
          <cell r="K72">
            <v>0.84</v>
          </cell>
          <cell r="L72" t="str">
            <v>Need Input</v>
          </cell>
          <cell r="P72">
            <v>30</v>
          </cell>
          <cell r="Q72">
            <v>10</v>
          </cell>
          <cell r="R72">
            <v>2200</v>
          </cell>
        </row>
        <row r="73">
          <cell r="A73" t="str">
            <v>LISF - Oil Space heater</v>
          </cell>
          <cell r="B73">
            <v>73</v>
          </cell>
          <cell r="C73" t="str">
            <v>LFS</v>
          </cell>
          <cell r="D73" t="str">
            <v>SHFHKERO</v>
          </cell>
          <cell r="E73">
            <v>30</v>
          </cell>
          <cell r="F73">
            <v>15</v>
          </cell>
          <cell r="G73" t="str">
            <v>Residential Space heat</v>
          </cell>
          <cell r="I73" t="str">
            <v xml:space="preserve">Res. Distillate </v>
          </cell>
          <cell r="J73">
            <v>1</v>
          </cell>
          <cell r="K73">
            <v>0.84</v>
          </cell>
          <cell r="L73" t="str">
            <v>Need Input</v>
          </cell>
          <cell r="P73">
            <v>30</v>
          </cell>
          <cell r="Q73">
            <v>10</v>
          </cell>
          <cell r="R73">
            <v>2200</v>
          </cell>
        </row>
        <row r="74">
          <cell r="A74" t="str">
            <v>Design Incentive</v>
          </cell>
          <cell r="B74">
            <v>74</v>
          </cell>
          <cell r="C74" t="str">
            <v>OTH</v>
          </cell>
          <cell r="D74" t="str">
            <v>DSNASIST</v>
          </cell>
          <cell r="E74">
            <v>1</v>
          </cell>
          <cell r="G74" t="str">
            <v>Flat (8760 hours)</v>
          </cell>
          <cell r="L74" t="str">
            <v>Need Input</v>
          </cell>
          <cell r="M74" t="str">
            <v>Need Input</v>
          </cell>
        </row>
        <row r="75">
          <cell r="A75" t="str">
            <v>Advance Incentive Payment</v>
          </cell>
          <cell r="B75">
            <v>75</v>
          </cell>
          <cell r="C75" t="str">
            <v>OTH</v>
          </cell>
          <cell r="D75" t="str">
            <v>SRVSPADV</v>
          </cell>
          <cell r="E75">
            <v>1</v>
          </cell>
          <cell r="G75" t="str">
            <v>Flat (8760 hours)</v>
          </cell>
          <cell r="L75">
            <v>0</v>
          </cell>
          <cell r="M75" t="str">
            <v>Need Input</v>
          </cell>
        </row>
        <row r="76">
          <cell r="A76" t="str">
            <v>Withheld Incentive Payment</v>
          </cell>
          <cell r="B76">
            <v>76</v>
          </cell>
          <cell r="C76" t="str">
            <v>OTH</v>
          </cell>
          <cell r="D76" t="str">
            <v>SRVSPWTH</v>
          </cell>
          <cell r="E76">
            <v>1</v>
          </cell>
          <cell r="G76" t="str">
            <v>Flat (8760 hours)</v>
          </cell>
          <cell r="L76">
            <v>0</v>
          </cell>
          <cell r="M76" t="str">
            <v>Need Input</v>
          </cell>
        </row>
        <row r="77">
          <cell r="A77" t="str">
            <v>Energy Star AC, incremental</v>
          </cell>
          <cell r="B77">
            <v>77</v>
          </cell>
          <cell r="C77" t="str">
            <v>OTH</v>
          </cell>
          <cell r="D77" t="str">
            <v>ACEESARP</v>
          </cell>
          <cell r="E77">
            <v>10</v>
          </cell>
          <cell r="G77" t="str">
            <v>Residential A/C</v>
          </cell>
          <cell r="L77" t="str">
            <v>Need Input</v>
          </cell>
        </row>
        <row r="78">
          <cell r="A78" t="str">
            <v>Energy Star AC, early replacement</v>
          </cell>
          <cell r="B78">
            <v>78</v>
          </cell>
          <cell r="C78" t="str">
            <v>OTH</v>
          </cell>
          <cell r="D78" t="str">
            <v>ACEESAER</v>
          </cell>
          <cell r="E78">
            <v>10</v>
          </cell>
          <cell r="G78" t="str">
            <v>Residential A/C</v>
          </cell>
          <cell r="L78" t="str">
            <v>Need Input</v>
          </cell>
        </row>
        <row r="79">
          <cell r="A79" t="str">
            <v>Energy Star Central AC, incremental</v>
          </cell>
          <cell r="B79">
            <v>79</v>
          </cell>
          <cell r="C79" t="str">
            <v>OTH</v>
          </cell>
          <cell r="D79" t="str">
            <v>ACEESACP</v>
          </cell>
          <cell r="E79">
            <v>18</v>
          </cell>
          <cell r="G79" t="str">
            <v>Residential A/C</v>
          </cell>
          <cell r="L79" t="str">
            <v>Need Input</v>
          </cell>
        </row>
        <row r="80">
          <cell r="A80" t="str">
            <v>Energy Star Central AC, early replacement</v>
          </cell>
          <cell r="B80">
            <v>80</v>
          </cell>
          <cell r="C80" t="str">
            <v>OTH</v>
          </cell>
          <cell r="D80" t="str">
            <v>ACEESACP</v>
          </cell>
          <cell r="E80">
            <v>18</v>
          </cell>
          <cell r="G80" t="str">
            <v>Residential A/C</v>
          </cell>
          <cell r="L80" t="str">
            <v>Need Input</v>
          </cell>
        </row>
        <row r="81">
          <cell r="A81" t="str">
            <v>Electric fuel switch, air conditioner natural gas</v>
          </cell>
          <cell r="B81">
            <v>81</v>
          </cell>
          <cell r="C81" t="str">
            <v>OTH</v>
          </cell>
          <cell r="D81" t="str">
            <v>OTFANGAS</v>
          </cell>
          <cell r="E81">
            <v>15</v>
          </cell>
          <cell r="G81" t="str">
            <v>Residential A/C</v>
          </cell>
          <cell r="I81" t="str">
            <v>Com. Natural Gas</v>
          </cell>
          <cell r="L81" t="str">
            <v>Need Input</v>
          </cell>
        </row>
        <row r="82">
          <cell r="A82" t="str">
            <v>Electric fuel switch, air conditioner propane</v>
          </cell>
          <cell r="B82">
            <v>82</v>
          </cell>
          <cell r="C82" t="str">
            <v>OTH</v>
          </cell>
          <cell r="D82" t="str">
            <v>OTFAPROP</v>
          </cell>
          <cell r="E82">
            <v>15</v>
          </cell>
          <cell r="G82" t="str">
            <v>Residential A/C</v>
          </cell>
          <cell r="I82" t="str">
            <v xml:space="preserve">Com. LPG </v>
          </cell>
          <cell r="L82" t="str">
            <v>Need Input</v>
          </cell>
        </row>
        <row r="83">
          <cell r="A83" t="str">
            <v>Electric fuel switch, cook stove natural gas</v>
          </cell>
          <cell r="B83">
            <v>83</v>
          </cell>
          <cell r="C83" t="str">
            <v>OTH</v>
          </cell>
          <cell r="D83" t="str">
            <v>OTFSNGAS</v>
          </cell>
          <cell r="E83">
            <v>15</v>
          </cell>
          <cell r="G83" t="str">
            <v>Residential Clothes Washer</v>
          </cell>
          <cell r="I83" t="str">
            <v>Com. Natural Gas</v>
          </cell>
          <cell r="L83" t="str">
            <v>Need Input</v>
          </cell>
        </row>
        <row r="84">
          <cell r="A84" t="str">
            <v>Electric fuel switch, cook stove propane</v>
          </cell>
          <cell r="B84">
            <v>84</v>
          </cell>
          <cell r="C84" t="str">
            <v>OTH</v>
          </cell>
          <cell r="D84" t="str">
            <v>OTFSPROP</v>
          </cell>
          <cell r="E84">
            <v>15</v>
          </cell>
          <cell r="G84" t="str">
            <v>Residential Clothes Washer</v>
          </cell>
          <cell r="I84" t="str">
            <v xml:space="preserve">Com. LPG </v>
          </cell>
          <cell r="L84" t="str">
            <v>Need Input</v>
          </cell>
        </row>
        <row r="85">
          <cell r="A85" t="str">
            <v>Energy Star Dishwasher, early replacement</v>
          </cell>
          <cell r="B85">
            <v>85</v>
          </cell>
          <cell r="C85" t="str">
            <v>OTH</v>
          </cell>
          <cell r="D85" t="str">
            <v>CKLESDER</v>
          </cell>
          <cell r="E85">
            <v>13</v>
          </cell>
          <cell r="G85" t="str">
            <v>Residential Clothes Washer</v>
          </cell>
          <cell r="L85" t="str">
            <v>Need Input</v>
          </cell>
        </row>
        <row r="86">
          <cell r="A86" t="str">
            <v>Energy Star Dishwasher</v>
          </cell>
          <cell r="B86">
            <v>86</v>
          </cell>
          <cell r="C86" t="str">
            <v>OTH</v>
          </cell>
          <cell r="D86" t="str">
            <v>CKLESDRP</v>
          </cell>
          <cell r="E86">
            <v>13</v>
          </cell>
          <cell r="G86" t="str">
            <v>Residential Clothes Washer</v>
          </cell>
          <cell r="L86" t="str">
            <v>Need Input</v>
          </cell>
        </row>
        <row r="87">
          <cell r="A87" t="str">
            <v>Master meter conversion</v>
          </cell>
          <cell r="B87">
            <v>87</v>
          </cell>
          <cell r="C87" t="str">
            <v>OTH</v>
          </cell>
          <cell r="D87" t="str">
            <v>ZZZMASTR</v>
          </cell>
          <cell r="E87">
            <v>30</v>
          </cell>
          <cell r="G87" t="str">
            <v>Flat (8760 hours)</v>
          </cell>
          <cell r="L87" t="str">
            <v>Need Input</v>
          </cell>
        </row>
        <row r="88">
          <cell r="A88" t="str">
            <v>Chimney Liner</v>
          </cell>
          <cell r="B88">
            <v>88</v>
          </cell>
          <cell r="C88" t="str">
            <v>OTH</v>
          </cell>
          <cell r="D88" t="str">
            <v>HASCHIMN</v>
          </cell>
          <cell r="E88">
            <v>30</v>
          </cell>
          <cell r="G88" t="str">
            <v>Flat (8760 hours)</v>
          </cell>
          <cell r="L88" t="str">
            <v>Need Input</v>
          </cell>
        </row>
        <row r="89">
          <cell r="A89" t="str">
            <v>Carbon Monoxide detector</v>
          </cell>
          <cell r="B89">
            <v>89</v>
          </cell>
          <cell r="C89" t="str">
            <v>OTH</v>
          </cell>
          <cell r="D89" t="str">
            <v>HASMONOX</v>
          </cell>
          <cell r="E89">
            <v>5</v>
          </cell>
          <cell r="G89" t="str">
            <v>Flat (8760 hours)</v>
          </cell>
          <cell r="L89" t="str">
            <v>Need Input</v>
          </cell>
        </row>
        <row r="90">
          <cell r="A90" t="str">
            <v>Variable frequency drive motor control</v>
          </cell>
          <cell r="B90">
            <v>90</v>
          </cell>
          <cell r="C90" t="str">
            <v>OTH</v>
          </cell>
          <cell r="D90" t="str">
            <v>MTCPRVFD</v>
          </cell>
          <cell r="E90">
            <v>15</v>
          </cell>
          <cell r="G90" t="str">
            <v>Residential Space heat</v>
          </cell>
          <cell r="L90" t="str">
            <v>Need Input</v>
          </cell>
        </row>
        <row r="91">
          <cell r="A91" t="str">
            <v>Motor timer control</v>
          </cell>
          <cell r="B91">
            <v>91</v>
          </cell>
          <cell r="C91" t="str">
            <v>OTH</v>
          </cell>
          <cell r="D91" t="str">
            <v>MTCTIMER</v>
          </cell>
          <cell r="E91">
            <v>10</v>
          </cell>
          <cell r="G91" t="str">
            <v>Residential Space heat</v>
          </cell>
          <cell r="L91" t="str">
            <v>Need Input</v>
          </cell>
        </row>
        <row r="92">
          <cell r="A92" t="str">
            <v>Motor Controls Commissioning</v>
          </cell>
          <cell r="B92">
            <v>92</v>
          </cell>
          <cell r="C92" t="str">
            <v>OTH</v>
          </cell>
          <cell r="D92" t="str">
            <v>MTCCOMMI</v>
          </cell>
          <cell r="E92">
            <v>10</v>
          </cell>
          <cell r="G92" t="str">
            <v>Residential Space heat</v>
          </cell>
          <cell r="L92" t="str">
            <v>Need Input</v>
          </cell>
        </row>
        <row r="93">
          <cell r="A93" t="str">
            <v>Custom motor control</v>
          </cell>
          <cell r="B93">
            <v>93</v>
          </cell>
          <cell r="C93" t="str">
            <v>OTH</v>
          </cell>
          <cell r="D93" t="str">
            <v>MTCZZZZZ</v>
          </cell>
          <cell r="E93">
            <v>10</v>
          </cell>
          <cell r="G93" t="str">
            <v>Residential Space heat</v>
          </cell>
          <cell r="L93" t="str">
            <v>Need Input</v>
          </cell>
        </row>
        <row r="94">
          <cell r="A94" t="str">
            <v>Custom motor</v>
          </cell>
          <cell r="B94">
            <v>94</v>
          </cell>
          <cell r="C94" t="str">
            <v>OTH</v>
          </cell>
          <cell r="D94" t="str">
            <v>MTRZZZZZ</v>
          </cell>
          <cell r="E94">
            <v>20</v>
          </cell>
          <cell r="G94" t="str">
            <v>Residential Space heat</v>
          </cell>
          <cell r="L94" t="str">
            <v>Need Input</v>
          </cell>
        </row>
        <row r="95">
          <cell r="A95" t="str">
            <v>Custom lighting fixture</v>
          </cell>
          <cell r="B95">
            <v>95</v>
          </cell>
          <cell r="C95" t="str">
            <v>OTH</v>
          </cell>
          <cell r="D95" t="str">
            <v>LFHZZZZZ</v>
          </cell>
          <cell r="E95">
            <v>20</v>
          </cell>
          <cell r="G95" t="str">
            <v>Residential Indoor Lighting</v>
          </cell>
          <cell r="L95" t="str">
            <v>Need Input</v>
          </cell>
        </row>
        <row r="96">
          <cell r="A96" t="str">
            <v>Lighting System Commissioning</v>
          </cell>
          <cell r="B96">
            <v>96</v>
          </cell>
          <cell r="C96" t="str">
            <v>OTH</v>
          </cell>
          <cell r="D96" t="str">
            <v>LECCOMMI</v>
          </cell>
          <cell r="E96">
            <v>10</v>
          </cell>
          <cell r="G96" t="str">
            <v>Residential Indoor Lighting</v>
          </cell>
          <cell r="L96" t="str">
            <v>Need Input</v>
          </cell>
        </row>
        <row r="97">
          <cell r="A97" t="str">
            <v>Custom lighting efficiency/controls</v>
          </cell>
          <cell r="B97">
            <v>97</v>
          </cell>
          <cell r="C97" t="str">
            <v>OTH</v>
          </cell>
          <cell r="D97" t="str">
            <v>LECZZZZZ</v>
          </cell>
          <cell r="E97">
            <v>10</v>
          </cell>
          <cell r="G97" t="str">
            <v>Residential Indoor Lighting</v>
          </cell>
          <cell r="L97" t="str">
            <v>Need Input</v>
          </cell>
        </row>
        <row r="98">
          <cell r="A98" t="str">
            <v>Building orientation change</v>
          </cell>
          <cell r="B98">
            <v>98</v>
          </cell>
          <cell r="C98" t="str">
            <v>OTH</v>
          </cell>
          <cell r="D98" t="str">
            <v>ACEORIEN</v>
          </cell>
          <cell r="E98">
            <v>30</v>
          </cell>
          <cell r="G98" t="str">
            <v>Residential A/C</v>
          </cell>
          <cell r="L98" t="str">
            <v>Need Input</v>
          </cell>
        </row>
        <row r="99">
          <cell r="A99" t="str">
            <v>Energy Star refrigerator, early replacement</v>
          </cell>
          <cell r="B99">
            <v>99</v>
          </cell>
          <cell r="C99" t="str">
            <v>REF</v>
          </cell>
          <cell r="D99" t="str">
            <v>RFRESRER</v>
          </cell>
          <cell r="E99">
            <v>17</v>
          </cell>
          <cell r="G99" t="str">
            <v>Residential Refrigerator</v>
          </cell>
          <cell r="L99">
            <v>500</v>
          </cell>
          <cell r="M99">
            <v>50</v>
          </cell>
        </row>
        <row r="100">
          <cell r="A100" t="str">
            <v>Energy Star refrigerator, incremental cost</v>
          </cell>
          <cell r="B100">
            <v>100</v>
          </cell>
          <cell r="C100" t="str">
            <v>REF</v>
          </cell>
          <cell r="D100" t="str">
            <v>RFRESRRP</v>
          </cell>
          <cell r="E100">
            <v>17</v>
          </cell>
          <cell r="G100" t="str">
            <v>Residential Refrigerator</v>
          </cell>
          <cell r="L100">
            <v>50</v>
          </cell>
          <cell r="M100">
            <v>50</v>
          </cell>
        </row>
        <row r="101">
          <cell r="A101" t="str">
            <v>Energy Star freezer, early replacement</v>
          </cell>
          <cell r="B101">
            <v>101</v>
          </cell>
          <cell r="C101" t="str">
            <v>REF</v>
          </cell>
          <cell r="D101" t="str">
            <v>RFRESFZR</v>
          </cell>
          <cell r="E101">
            <v>16</v>
          </cell>
          <cell r="G101" t="str">
            <v>Residential Refrigerator</v>
          </cell>
          <cell r="L101">
            <v>500</v>
          </cell>
          <cell r="M101">
            <v>30</v>
          </cell>
        </row>
        <row r="102">
          <cell r="A102" t="str">
            <v>Energy Star freezer, incremental cost</v>
          </cell>
          <cell r="B102">
            <v>102</v>
          </cell>
          <cell r="C102" t="str">
            <v>REF</v>
          </cell>
          <cell r="D102" t="str">
            <v>RFRESFZP</v>
          </cell>
          <cell r="E102">
            <v>16</v>
          </cell>
          <cell r="G102" t="str">
            <v>Residential Refrigerator</v>
          </cell>
          <cell r="L102">
            <v>30</v>
          </cell>
          <cell r="M102">
            <v>30</v>
          </cell>
        </row>
        <row r="103">
          <cell r="A103" t="str">
            <v xml:space="preserve"> 15 cu. Ft. Frigidaire Refrigerator, early replacement</v>
          </cell>
          <cell r="B103">
            <v>103</v>
          </cell>
          <cell r="C103" t="str">
            <v>REF</v>
          </cell>
          <cell r="D103" t="str">
            <v>RFRESRER</v>
          </cell>
          <cell r="E103">
            <v>17</v>
          </cell>
          <cell r="G103" t="str">
            <v>Residential Refrigerator</v>
          </cell>
          <cell r="L103">
            <v>500</v>
          </cell>
          <cell r="M103">
            <v>50</v>
          </cell>
          <cell r="N103" t="str">
            <v>Need Input</v>
          </cell>
          <cell r="O103">
            <v>399</v>
          </cell>
        </row>
        <row r="104">
          <cell r="A104" t="str">
            <v xml:space="preserve"> 15 cu. Ft. Frigidaire Refrigerator, incremental</v>
          </cell>
          <cell r="B104">
            <v>104</v>
          </cell>
          <cell r="C104" t="str">
            <v>REF</v>
          </cell>
          <cell r="D104" t="str">
            <v>RFRESRRP</v>
          </cell>
          <cell r="E104">
            <v>17</v>
          </cell>
          <cell r="G104" t="str">
            <v>Residential Refrigerator</v>
          </cell>
          <cell r="L104">
            <v>50</v>
          </cell>
          <cell r="M104">
            <v>50</v>
          </cell>
          <cell r="N104">
            <v>443</v>
          </cell>
          <cell r="O104">
            <v>399</v>
          </cell>
        </row>
        <row r="105">
          <cell r="A105" t="str">
            <v xml:space="preserve"> 15 cu. Ft. GE Refrigerator, early replacement</v>
          </cell>
          <cell r="B105">
            <v>105</v>
          </cell>
          <cell r="C105" t="str">
            <v>REF</v>
          </cell>
          <cell r="D105" t="str">
            <v>RFRESRER</v>
          </cell>
          <cell r="E105">
            <v>17</v>
          </cell>
          <cell r="G105" t="str">
            <v>Residential Refrigerator</v>
          </cell>
          <cell r="L105">
            <v>500</v>
          </cell>
          <cell r="M105">
            <v>50</v>
          </cell>
          <cell r="N105" t="str">
            <v>Need Input</v>
          </cell>
          <cell r="O105">
            <v>398</v>
          </cell>
        </row>
        <row r="106">
          <cell r="A106" t="str">
            <v xml:space="preserve"> 15 cu. Ft. GE Refrigerator, incremental</v>
          </cell>
          <cell r="B106">
            <v>106</v>
          </cell>
          <cell r="C106" t="str">
            <v>REF</v>
          </cell>
          <cell r="D106" t="str">
            <v>RFRESRRP</v>
          </cell>
          <cell r="E106">
            <v>17</v>
          </cell>
          <cell r="G106" t="str">
            <v>Residential Refrigerator</v>
          </cell>
          <cell r="L106">
            <v>50</v>
          </cell>
          <cell r="M106">
            <v>50</v>
          </cell>
          <cell r="N106">
            <v>442</v>
          </cell>
          <cell r="O106">
            <v>398</v>
          </cell>
        </row>
        <row r="107">
          <cell r="A107" t="str">
            <v xml:space="preserve"> 15 cu. Ft. Kenmore Refrigerator, early replacement</v>
          </cell>
          <cell r="B107">
            <v>107</v>
          </cell>
          <cell r="C107" t="str">
            <v>REF</v>
          </cell>
          <cell r="D107" t="str">
            <v>RFRESRER</v>
          </cell>
          <cell r="E107">
            <v>17</v>
          </cell>
          <cell r="G107" t="str">
            <v>Residential Refrigerator</v>
          </cell>
          <cell r="L107">
            <v>500</v>
          </cell>
          <cell r="M107">
            <v>50</v>
          </cell>
          <cell r="N107" t="str">
            <v>Need Input</v>
          </cell>
          <cell r="O107">
            <v>398</v>
          </cell>
        </row>
        <row r="108">
          <cell r="A108" t="str">
            <v xml:space="preserve"> 15 cu. Ft. Kenmore Refrigerator, incremental</v>
          </cell>
          <cell r="B108">
            <v>108</v>
          </cell>
          <cell r="C108" t="str">
            <v>REF</v>
          </cell>
          <cell r="D108" t="str">
            <v>RFRESRRP</v>
          </cell>
          <cell r="E108">
            <v>17</v>
          </cell>
          <cell r="G108" t="str">
            <v>Residential Refrigerator</v>
          </cell>
          <cell r="L108">
            <v>50</v>
          </cell>
          <cell r="M108">
            <v>50</v>
          </cell>
          <cell r="N108">
            <v>442</v>
          </cell>
          <cell r="O108">
            <v>398</v>
          </cell>
        </row>
        <row r="109">
          <cell r="A109" t="str">
            <v xml:space="preserve"> 15 cu. Ft. Magic Chef Refrigerator, early replacement</v>
          </cell>
          <cell r="B109">
            <v>109</v>
          </cell>
          <cell r="C109" t="str">
            <v>REF</v>
          </cell>
          <cell r="D109" t="str">
            <v>RFRESRER</v>
          </cell>
          <cell r="E109">
            <v>17</v>
          </cell>
          <cell r="G109" t="str">
            <v>Residential Refrigerator</v>
          </cell>
          <cell r="L109">
            <v>500</v>
          </cell>
          <cell r="M109">
            <v>50</v>
          </cell>
          <cell r="N109" t="str">
            <v>Need Input</v>
          </cell>
          <cell r="O109">
            <v>386</v>
          </cell>
        </row>
        <row r="110">
          <cell r="A110" t="str">
            <v xml:space="preserve"> 15 cu. Ft. Magic Chef Refrigerator, incremental</v>
          </cell>
          <cell r="B110">
            <v>110</v>
          </cell>
          <cell r="C110" t="str">
            <v>REF</v>
          </cell>
          <cell r="D110" t="str">
            <v>RFRESRRP</v>
          </cell>
          <cell r="E110">
            <v>17</v>
          </cell>
          <cell r="G110" t="str">
            <v>Residential Refrigerator</v>
          </cell>
          <cell r="L110">
            <v>50</v>
          </cell>
          <cell r="M110">
            <v>50</v>
          </cell>
          <cell r="N110">
            <v>448</v>
          </cell>
          <cell r="O110">
            <v>386</v>
          </cell>
        </row>
        <row r="111">
          <cell r="A111" t="str">
            <v xml:space="preserve"> 15 cu. Ft. Whirlpool Refrigerator, early replacment</v>
          </cell>
          <cell r="B111">
            <v>111</v>
          </cell>
          <cell r="C111" t="str">
            <v>REF</v>
          </cell>
          <cell r="D111" t="str">
            <v>RFRESRER</v>
          </cell>
          <cell r="E111">
            <v>17</v>
          </cell>
          <cell r="G111" t="str">
            <v>Residential Refrigerator</v>
          </cell>
          <cell r="L111">
            <v>500</v>
          </cell>
          <cell r="M111">
            <v>50</v>
          </cell>
          <cell r="N111" t="str">
            <v>Need Input</v>
          </cell>
          <cell r="O111">
            <v>372</v>
          </cell>
        </row>
        <row r="112">
          <cell r="A112" t="str">
            <v xml:space="preserve"> 15 cu. Ft. Whirlpool Refrigerator, incremental</v>
          </cell>
          <cell r="B112">
            <v>112</v>
          </cell>
          <cell r="C112" t="str">
            <v>REF</v>
          </cell>
          <cell r="D112" t="str">
            <v>RFRESRRP</v>
          </cell>
          <cell r="E112">
            <v>17</v>
          </cell>
          <cell r="G112" t="str">
            <v>Residential Refrigerator</v>
          </cell>
          <cell r="L112">
            <v>50</v>
          </cell>
          <cell r="M112">
            <v>50</v>
          </cell>
          <cell r="N112">
            <v>441</v>
          </cell>
          <cell r="O112">
            <v>372</v>
          </cell>
        </row>
        <row r="113">
          <cell r="A113" t="str">
            <v xml:space="preserve"> 18 cu. Ft. Amana Refrigerator, early replacement</v>
          </cell>
          <cell r="B113">
            <v>113</v>
          </cell>
          <cell r="C113" t="str">
            <v>REF</v>
          </cell>
          <cell r="D113" t="str">
            <v>RFRESRER</v>
          </cell>
          <cell r="E113">
            <v>17</v>
          </cell>
          <cell r="G113" t="str">
            <v>Residential Refrigerator</v>
          </cell>
          <cell r="L113">
            <v>500</v>
          </cell>
          <cell r="M113">
            <v>50</v>
          </cell>
          <cell r="N113" t="str">
            <v>Need Input</v>
          </cell>
          <cell r="O113">
            <v>431</v>
          </cell>
        </row>
        <row r="114">
          <cell r="A114" t="str">
            <v xml:space="preserve"> 18 cu. Ft. Amana Refrigerator, incremental</v>
          </cell>
          <cell r="B114">
            <v>114</v>
          </cell>
          <cell r="C114" t="str">
            <v>REF</v>
          </cell>
          <cell r="D114" t="str">
            <v>RFRESRRP</v>
          </cell>
          <cell r="E114">
            <v>17</v>
          </cell>
          <cell r="G114" t="str">
            <v>Residential Refrigerator</v>
          </cell>
          <cell r="L114">
            <v>50</v>
          </cell>
          <cell r="M114">
            <v>50</v>
          </cell>
          <cell r="N114">
            <v>480</v>
          </cell>
          <cell r="O114">
            <v>431</v>
          </cell>
        </row>
        <row r="115">
          <cell r="A115" t="str">
            <v xml:space="preserve"> 18 cu. Ft. Amana Refrigerator #2, early replacement</v>
          </cell>
          <cell r="B115">
            <v>115</v>
          </cell>
          <cell r="C115" t="str">
            <v>REF</v>
          </cell>
          <cell r="D115" t="str">
            <v>RFRESRER</v>
          </cell>
          <cell r="E115">
            <v>17</v>
          </cell>
          <cell r="G115" t="str">
            <v>Residential Refrigerator</v>
          </cell>
          <cell r="L115">
            <v>500</v>
          </cell>
          <cell r="M115">
            <v>50</v>
          </cell>
          <cell r="N115" t="str">
            <v>Need Input</v>
          </cell>
          <cell r="O115">
            <v>502</v>
          </cell>
        </row>
        <row r="116">
          <cell r="A116" t="str">
            <v xml:space="preserve"> 18 cu. Ft. Amana Refrigerator #2, incremental</v>
          </cell>
          <cell r="B116">
            <v>116</v>
          </cell>
          <cell r="C116" t="str">
            <v>REF</v>
          </cell>
          <cell r="D116" t="str">
            <v>RFRESRRP</v>
          </cell>
          <cell r="E116">
            <v>17</v>
          </cell>
          <cell r="G116" t="str">
            <v>Residential Refrigerator</v>
          </cell>
          <cell r="L116">
            <v>50</v>
          </cell>
          <cell r="M116">
            <v>50</v>
          </cell>
          <cell r="N116">
            <v>558</v>
          </cell>
          <cell r="O116">
            <v>502</v>
          </cell>
        </row>
        <row r="117">
          <cell r="A117" t="str">
            <v xml:space="preserve"> 18 cu. Ft. Frigidaire Refrigerator, early replacement</v>
          </cell>
          <cell r="B117">
            <v>117</v>
          </cell>
          <cell r="C117" t="str">
            <v>REF</v>
          </cell>
          <cell r="D117" t="str">
            <v>RFRESRER</v>
          </cell>
          <cell r="E117">
            <v>17</v>
          </cell>
          <cell r="G117" t="str">
            <v>Residential Refrigerator</v>
          </cell>
          <cell r="L117">
            <v>500</v>
          </cell>
          <cell r="M117">
            <v>50</v>
          </cell>
          <cell r="N117" t="str">
            <v>Need Input</v>
          </cell>
          <cell r="O117">
            <v>431</v>
          </cell>
        </row>
        <row r="118">
          <cell r="A118" t="str">
            <v xml:space="preserve"> 18 cu. Ft. Frigidaire Refrigerator, incremental</v>
          </cell>
          <cell r="B118">
            <v>118</v>
          </cell>
          <cell r="C118" t="str">
            <v>REF</v>
          </cell>
          <cell r="D118" t="str">
            <v>RFRESRRP</v>
          </cell>
          <cell r="E118">
            <v>17</v>
          </cell>
          <cell r="G118" t="str">
            <v>Residential Refrigerator</v>
          </cell>
          <cell r="L118">
            <v>50</v>
          </cell>
          <cell r="M118">
            <v>50</v>
          </cell>
          <cell r="N118">
            <v>480</v>
          </cell>
          <cell r="O118">
            <v>431</v>
          </cell>
        </row>
        <row r="119">
          <cell r="A119" t="str">
            <v xml:space="preserve"> 17 cu. Ft. Kenmore Refrigerator, early replacement</v>
          </cell>
          <cell r="B119">
            <v>119</v>
          </cell>
          <cell r="C119" t="str">
            <v>REF</v>
          </cell>
          <cell r="D119" t="str">
            <v>RFRESRER</v>
          </cell>
          <cell r="E119">
            <v>17</v>
          </cell>
          <cell r="G119" t="str">
            <v>Residential Refrigerator</v>
          </cell>
          <cell r="L119">
            <v>500</v>
          </cell>
          <cell r="M119">
            <v>50</v>
          </cell>
          <cell r="N119" t="str">
            <v>Need Input</v>
          </cell>
          <cell r="O119">
            <v>414</v>
          </cell>
        </row>
        <row r="120">
          <cell r="A120" t="str">
            <v xml:space="preserve"> 17 cu. Ft. Kenmore Refrigerator, incremental</v>
          </cell>
          <cell r="B120">
            <v>120</v>
          </cell>
          <cell r="C120" t="str">
            <v>REF</v>
          </cell>
          <cell r="D120" t="str">
            <v>RFRESRRP</v>
          </cell>
          <cell r="E120">
            <v>17</v>
          </cell>
          <cell r="G120" t="str">
            <v>Residential Refrigerator</v>
          </cell>
          <cell r="L120">
            <v>50</v>
          </cell>
          <cell r="M120">
            <v>50</v>
          </cell>
          <cell r="N120">
            <v>460</v>
          </cell>
          <cell r="O120">
            <v>414</v>
          </cell>
        </row>
        <row r="121">
          <cell r="A121" t="str">
            <v xml:space="preserve"> 18 cu. Ft. Kenmore Refrigerator, early replacement</v>
          </cell>
          <cell r="B121">
            <v>121</v>
          </cell>
          <cell r="C121" t="str">
            <v>REF</v>
          </cell>
          <cell r="D121" t="str">
            <v>RFRESRER</v>
          </cell>
          <cell r="E121">
            <v>17</v>
          </cell>
          <cell r="G121" t="str">
            <v>Residential Refrigerator</v>
          </cell>
          <cell r="L121">
            <v>500</v>
          </cell>
          <cell r="M121">
            <v>50</v>
          </cell>
          <cell r="N121" t="str">
            <v>Need Input</v>
          </cell>
          <cell r="O121">
            <v>431</v>
          </cell>
        </row>
        <row r="122">
          <cell r="A122" t="str">
            <v xml:space="preserve"> 18 cu. Ft. Kenmore Refrigerator, incremental</v>
          </cell>
          <cell r="B122">
            <v>122</v>
          </cell>
          <cell r="C122" t="str">
            <v>REF</v>
          </cell>
          <cell r="D122" t="str">
            <v>RFRESRRP</v>
          </cell>
          <cell r="E122">
            <v>17</v>
          </cell>
          <cell r="G122" t="str">
            <v>Residential Refrigerator</v>
          </cell>
          <cell r="L122">
            <v>50</v>
          </cell>
          <cell r="M122">
            <v>50</v>
          </cell>
          <cell r="N122">
            <v>481</v>
          </cell>
          <cell r="O122">
            <v>431</v>
          </cell>
        </row>
        <row r="123">
          <cell r="A123" t="str">
            <v xml:space="preserve"> 18 cu. Ft. Maytag Refrigerator, early replacement</v>
          </cell>
          <cell r="B123">
            <v>123</v>
          </cell>
          <cell r="C123" t="str">
            <v>REF</v>
          </cell>
          <cell r="D123" t="str">
            <v>RFRESRER</v>
          </cell>
          <cell r="E123">
            <v>17</v>
          </cell>
          <cell r="G123" t="str">
            <v>Residential Refrigerator</v>
          </cell>
          <cell r="L123">
            <v>500</v>
          </cell>
          <cell r="M123">
            <v>50</v>
          </cell>
          <cell r="N123" t="str">
            <v>Need Input</v>
          </cell>
          <cell r="O123">
            <v>439</v>
          </cell>
        </row>
        <row r="124">
          <cell r="A124" t="str">
            <v xml:space="preserve"> 18 cu. Ft. Maytag Refrigerator, incremental</v>
          </cell>
          <cell r="B124">
            <v>124</v>
          </cell>
          <cell r="C124" t="str">
            <v>REF</v>
          </cell>
          <cell r="D124" t="str">
            <v>RFRESRRP</v>
          </cell>
          <cell r="E124">
            <v>17</v>
          </cell>
          <cell r="G124" t="str">
            <v>Residential Refrigerator</v>
          </cell>
          <cell r="L124">
            <v>50</v>
          </cell>
          <cell r="M124">
            <v>50</v>
          </cell>
          <cell r="N124">
            <v>490</v>
          </cell>
          <cell r="O124">
            <v>439</v>
          </cell>
        </row>
        <row r="125">
          <cell r="A125" t="str">
            <v xml:space="preserve"> 18 cu. Ft. Roper Refrigerator, early replacement</v>
          </cell>
          <cell r="B125">
            <v>125</v>
          </cell>
          <cell r="C125" t="str">
            <v>REF</v>
          </cell>
          <cell r="D125" t="str">
            <v>RFRESRER</v>
          </cell>
          <cell r="E125">
            <v>17</v>
          </cell>
          <cell r="G125" t="str">
            <v>Residential Refrigerator</v>
          </cell>
          <cell r="L125">
            <v>500</v>
          </cell>
          <cell r="M125">
            <v>50</v>
          </cell>
          <cell r="N125" t="str">
            <v>Need Input</v>
          </cell>
          <cell r="O125">
            <v>434</v>
          </cell>
        </row>
        <row r="126">
          <cell r="A126" t="str">
            <v xml:space="preserve"> 18 cu. Ft. Roper Refrigerator, incremental</v>
          </cell>
          <cell r="B126">
            <v>126</v>
          </cell>
          <cell r="C126" t="str">
            <v>REF</v>
          </cell>
          <cell r="D126" t="str">
            <v>RFRESRRP</v>
          </cell>
          <cell r="E126">
            <v>17</v>
          </cell>
          <cell r="G126" t="str">
            <v>Residential Refrigerator</v>
          </cell>
          <cell r="L126">
            <v>50</v>
          </cell>
          <cell r="M126">
            <v>50</v>
          </cell>
          <cell r="N126">
            <v>484</v>
          </cell>
          <cell r="O126">
            <v>434</v>
          </cell>
        </row>
        <row r="127">
          <cell r="A127" t="str">
            <v xml:space="preserve"> 18 cu. Ft. Whirlpool Refrigerator, early replacement</v>
          </cell>
          <cell r="B127">
            <v>127</v>
          </cell>
          <cell r="C127" t="str">
            <v>REF</v>
          </cell>
          <cell r="D127" t="str">
            <v>RFRESRER</v>
          </cell>
          <cell r="E127">
            <v>17</v>
          </cell>
          <cell r="G127" t="str">
            <v>Residential Refrigerator</v>
          </cell>
          <cell r="L127">
            <v>500</v>
          </cell>
          <cell r="M127">
            <v>50</v>
          </cell>
          <cell r="N127" t="str">
            <v>Need Input</v>
          </cell>
          <cell r="O127">
            <v>434</v>
          </cell>
        </row>
        <row r="128">
          <cell r="A128" t="str">
            <v xml:space="preserve"> 18 cu. Ft. Whirlpool Refrigerator, incremental</v>
          </cell>
          <cell r="B128">
            <v>128</v>
          </cell>
          <cell r="C128" t="str">
            <v>REF</v>
          </cell>
          <cell r="D128" t="str">
            <v>RFRESRRP</v>
          </cell>
          <cell r="E128">
            <v>17</v>
          </cell>
          <cell r="G128" t="str">
            <v>Residential Refrigerator</v>
          </cell>
          <cell r="L128">
            <v>50</v>
          </cell>
          <cell r="M128">
            <v>50</v>
          </cell>
          <cell r="N128">
            <v>484</v>
          </cell>
          <cell r="O128">
            <v>434</v>
          </cell>
        </row>
        <row r="129">
          <cell r="A129" t="str">
            <v>Commercial Reach-in Refrigerator</v>
          </cell>
          <cell r="B129">
            <v>129</v>
          </cell>
          <cell r="C129" t="str">
            <v>REF</v>
          </cell>
          <cell r="D129" t="str">
            <v>RFRCOMRF</v>
          </cell>
          <cell r="E129">
            <v>9</v>
          </cell>
          <cell r="G129" t="str">
            <v>Commercial Refrigeration</v>
          </cell>
          <cell r="L129" t="str">
            <v>Need Input</v>
          </cell>
        </row>
        <row r="130">
          <cell r="A130" t="str">
            <v>Commercial Reach-in Freezer</v>
          </cell>
          <cell r="B130">
            <v>130</v>
          </cell>
          <cell r="C130" t="str">
            <v>REF</v>
          </cell>
          <cell r="D130" t="str">
            <v>RFRCOMFZ</v>
          </cell>
          <cell r="E130">
            <v>9</v>
          </cell>
          <cell r="G130" t="str">
            <v>Commercial Refrigeration</v>
          </cell>
          <cell r="L130" t="str">
            <v>Need Input</v>
          </cell>
        </row>
        <row r="131">
          <cell r="A131" t="str">
            <v>Remove refrigerator/freezer</v>
          </cell>
          <cell r="B131">
            <v>131</v>
          </cell>
          <cell r="C131" t="str">
            <v>REF</v>
          </cell>
          <cell r="D131" t="str">
            <v>RFRREMOV</v>
          </cell>
          <cell r="E131">
            <v>5</v>
          </cell>
          <cell r="G131" t="str">
            <v>Residential Refrigerator</v>
          </cell>
          <cell r="L131">
            <v>50</v>
          </cell>
          <cell r="M131">
            <v>50</v>
          </cell>
          <cell r="N131" t="str">
            <v>Need Input</v>
          </cell>
          <cell r="O131">
            <v>0</v>
          </cell>
        </row>
        <row r="132">
          <cell r="A132" t="str">
            <v>Electric fuel switch, refrigerator natural gas</v>
          </cell>
          <cell r="B132">
            <v>132</v>
          </cell>
          <cell r="C132" t="str">
            <v>REF</v>
          </cell>
          <cell r="D132" t="str">
            <v>OTFRNGAS</v>
          </cell>
          <cell r="E132">
            <v>17</v>
          </cell>
          <cell r="G132" t="str">
            <v>Residential Refrigerator</v>
          </cell>
          <cell r="I132" t="str">
            <v>Com. Natural Gas</v>
          </cell>
          <cell r="L132" t="str">
            <v>Need Input</v>
          </cell>
        </row>
        <row r="133">
          <cell r="A133" t="str">
            <v>Vending Miser for Soft Drink Vending Machines</v>
          </cell>
          <cell r="B133">
            <v>133</v>
          </cell>
          <cell r="C133" t="str">
            <v>REF</v>
          </cell>
          <cell r="D133" t="str">
            <v>RFRVENDM</v>
          </cell>
          <cell r="E133">
            <v>10</v>
          </cell>
          <cell r="G133" t="str">
            <v>Vending Miser</v>
          </cell>
          <cell r="L133">
            <v>160</v>
          </cell>
          <cell r="M133">
            <v>40</v>
          </cell>
          <cell r="N133">
            <v>3555</v>
          </cell>
          <cell r="O133">
            <v>1920</v>
          </cell>
        </row>
        <row r="134">
          <cell r="A134" t="str">
            <v>Space Heat Electric fuel switch, boiler, fuel oil</v>
          </cell>
          <cell r="B134">
            <v>134</v>
          </cell>
          <cell r="C134" t="str">
            <v>SFS</v>
          </cell>
          <cell r="D134" t="str">
            <v>SHFBFOIL</v>
          </cell>
          <cell r="E134">
            <v>30</v>
          </cell>
          <cell r="F134">
            <v>25</v>
          </cell>
          <cell r="G134" t="str">
            <v>Residential Space heat</v>
          </cell>
          <cell r="H134" t="str">
            <v>Electric baseboard</v>
          </cell>
          <cell r="I134" t="str">
            <v xml:space="preserve">Com. Distillate </v>
          </cell>
          <cell r="J134">
            <v>1</v>
          </cell>
          <cell r="K134">
            <v>0.82</v>
          </cell>
          <cell r="L134" t="str">
            <v>Need Input</v>
          </cell>
        </row>
        <row r="135">
          <cell r="A135" t="str">
            <v>Space Heat Electric fuel switch, boiler, natural gas</v>
          </cell>
          <cell r="B135">
            <v>135</v>
          </cell>
          <cell r="C135" t="str">
            <v>SFS</v>
          </cell>
          <cell r="D135" t="str">
            <v>SHFBNGAS</v>
          </cell>
          <cell r="E135">
            <v>30</v>
          </cell>
          <cell r="F135">
            <v>25</v>
          </cell>
          <cell r="G135" t="str">
            <v>Residential Space heat</v>
          </cell>
          <cell r="H135" t="str">
            <v>Electric baseboard</v>
          </cell>
          <cell r="I135" t="str">
            <v>Com. Natural Gas</v>
          </cell>
          <cell r="J135">
            <v>1</v>
          </cell>
          <cell r="K135">
            <v>0.82</v>
          </cell>
          <cell r="L135" t="str">
            <v>Need Input</v>
          </cell>
        </row>
        <row r="136">
          <cell r="A136" t="str">
            <v>Space Heat Electric fuel switch, boiler, propane</v>
          </cell>
          <cell r="B136">
            <v>136</v>
          </cell>
          <cell r="C136" t="str">
            <v>SFS</v>
          </cell>
          <cell r="D136" t="str">
            <v>SHFBPROP</v>
          </cell>
          <cell r="E136">
            <v>30</v>
          </cell>
          <cell r="F136">
            <v>25</v>
          </cell>
          <cell r="G136" t="str">
            <v>Residential Space heat</v>
          </cell>
          <cell r="H136" t="str">
            <v>Electric baseboard</v>
          </cell>
          <cell r="I136" t="str">
            <v xml:space="preserve">Com. LPG </v>
          </cell>
          <cell r="J136">
            <v>1</v>
          </cell>
          <cell r="K136">
            <v>0.82</v>
          </cell>
          <cell r="L136" t="str">
            <v>Need Input</v>
          </cell>
        </row>
        <row r="137">
          <cell r="A137" t="str">
            <v>Space Heat Electric fuel switch, boiler, wood</v>
          </cell>
          <cell r="B137">
            <v>137</v>
          </cell>
          <cell r="C137" t="str">
            <v>SFS</v>
          </cell>
          <cell r="D137" t="str">
            <v>SHFBWOOD</v>
          </cell>
          <cell r="E137">
            <v>30</v>
          </cell>
          <cell r="F137">
            <v>25</v>
          </cell>
          <cell r="G137" t="str">
            <v>Residential Space heat</v>
          </cell>
          <cell r="H137" t="str">
            <v>Electric baseboard</v>
          </cell>
          <cell r="I137" t="str">
            <v>Wood</v>
          </cell>
          <cell r="L137" t="str">
            <v>Need Input</v>
          </cell>
        </row>
        <row r="138">
          <cell r="A138" t="str">
            <v>Space Heat Electric fuel switch, furnace, fuel oil</v>
          </cell>
          <cell r="B138">
            <v>138</v>
          </cell>
          <cell r="C138" t="str">
            <v>SFS</v>
          </cell>
          <cell r="D138" t="str">
            <v>SHFFFOIL</v>
          </cell>
          <cell r="E138">
            <v>30</v>
          </cell>
          <cell r="F138">
            <v>20</v>
          </cell>
          <cell r="G138" t="str">
            <v>Residential Space heat</v>
          </cell>
          <cell r="H138" t="str">
            <v>Electric baseboard</v>
          </cell>
          <cell r="I138" t="str">
            <v xml:space="preserve">Com. Distillate </v>
          </cell>
          <cell r="J138">
            <v>1</v>
          </cell>
          <cell r="K138">
            <v>0.82</v>
          </cell>
          <cell r="L138" t="str">
            <v>Need Input</v>
          </cell>
        </row>
        <row r="139">
          <cell r="A139" t="str">
            <v>Space Heat Electric fuel switch, furnace, natural gas</v>
          </cell>
          <cell r="B139">
            <v>139</v>
          </cell>
          <cell r="C139" t="str">
            <v>SFS</v>
          </cell>
          <cell r="D139" t="str">
            <v>SHFFNGAS</v>
          </cell>
          <cell r="E139">
            <v>30</v>
          </cell>
          <cell r="F139">
            <v>20</v>
          </cell>
          <cell r="G139" t="str">
            <v>Residential Space heat</v>
          </cell>
          <cell r="H139" t="str">
            <v>Electric baseboard</v>
          </cell>
          <cell r="I139" t="str">
            <v>Com. Natural Gas</v>
          </cell>
          <cell r="J139">
            <v>1</v>
          </cell>
          <cell r="K139">
            <v>0.82</v>
          </cell>
          <cell r="L139" t="str">
            <v>Need Input</v>
          </cell>
        </row>
        <row r="140">
          <cell r="A140" t="str">
            <v>Space Heat Electric fuel switch, furnace, propane</v>
          </cell>
          <cell r="B140">
            <v>140</v>
          </cell>
          <cell r="C140" t="str">
            <v>SFS</v>
          </cell>
          <cell r="D140" t="str">
            <v>SHFFPROP</v>
          </cell>
          <cell r="E140">
            <v>30</v>
          </cell>
          <cell r="F140">
            <v>20</v>
          </cell>
          <cell r="G140" t="str">
            <v>Residential Space heat</v>
          </cell>
          <cell r="H140" t="str">
            <v>Electric baseboard</v>
          </cell>
          <cell r="I140" t="str">
            <v xml:space="preserve">Com. LPG </v>
          </cell>
          <cell r="J140">
            <v>1</v>
          </cell>
          <cell r="K140">
            <v>0.82</v>
          </cell>
          <cell r="L140" t="str">
            <v>Need Input</v>
          </cell>
        </row>
        <row r="141">
          <cell r="A141" t="str">
            <v>Space Heat Electric fuel switch, furnace, wood</v>
          </cell>
          <cell r="B141">
            <v>141</v>
          </cell>
          <cell r="C141" t="str">
            <v>SFS</v>
          </cell>
          <cell r="D141" t="str">
            <v>SHFFWOOD</v>
          </cell>
          <cell r="E141">
            <v>30</v>
          </cell>
          <cell r="F141">
            <v>20</v>
          </cell>
          <cell r="G141" t="str">
            <v>Residential Space heat</v>
          </cell>
          <cell r="H141" t="str">
            <v>Electric baseboard</v>
          </cell>
          <cell r="I141" t="str">
            <v>Wood</v>
          </cell>
          <cell r="L141" t="str">
            <v>Need Input</v>
          </cell>
        </row>
        <row r="142">
          <cell r="A142" t="str">
            <v>Space Heat Electric fuel switch, space heater, kerosene</v>
          </cell>
          <cell r="B142">
            <v>142</v>
          </cell>
          <cell r="C142" t="str">
            <v>SFS</v>
          </cell>
          <cell r="D142" t="str">
            <v>SHFHKERO</v>
          </cell>
          <cell r="E142">
            <v>30</v>
          </cell>
          <cell r="F142">
            <v>15</v>
          </cell>
          <cell r="G142" t="str">
            <v>Residential Space heat</v>
          </cell>
          <cell r="H142" t="str">
            <v>Electric baseboard</v>
          </cell>
          <cell r="I142" t="str">
            <v>Kerosene</v>
          </cell>
          <cell r="J142">
            <v>1</v>
          </cell>
          <cell r="K142">
            <v>0.84</v>
          </cell>
          <cell r="L142" t="str">
            <v>Need Input</v>
          </cell>
        </row>
        <row r="143">
          <cell r="A143" t="str">
            <v>Space Heat Electric fuel switch, space heater, natural gas</v>
          </cell>
          <cell r="B143">
            <v>143</v>
          </cell>
          <cell r="C143" t="str">
            <v>SFS</v>
          </cell>
          <cell r="D143" t="str">
            <v>SHFHNGAS</v>
          </cell>
          <cell r="E143">
            <v>30</v>
          </cell>
          <cell r="F143">
            <v>15</v>
          </cell>
          <cell r="G143" t="str">
            <v>Residential Space heat</v>
          </cell>
          <cell r="H143" t="str">
            <v>Electric baseboard</v>
          </cell>
          <cell r="I143" t="str">
            <v>Com. Natural Gas</v>
          </cell>
          <cell r="J143">
            <v>1</v>
          </cell>
          <cell r="K143">
            <v>0.8</v>
          </cell>
          <cell r="L143" t="str">
            <v>Need Input</v>
          </cell>
        </row>
        <row r="144">
          <cell r="A144" t="str">
            <v>Space Heat Electric fuel switch, space heater, propane</v>
          </cell>
          <cell r="B144">
            <v>144</v>
          </cell>
          <cell r="C144" t="str">
            <v>SFS</v>
          </cell>
          <cell r="D144" t="str">
            <v>SHFHPROP</v>
          </cell>
          <cell r="E144">
            <v>30</v>
          </cell>
          <cell r="F144">
            <v>15</v>
          </cell>
          <cell r="G144" t="str">
            <v>Residential Space heat</v>
          </cell>
          <cell r="H144" t="str">
            <v>Electric baseboard</v>
          </cell>
          <cell r="I144" t="str">
            <v xml:space="preserve">Com. LPG </v>
          </cell>
          <cell r="J144">
            <v>1</v>
          </cell>
          <cell r="K144">
            <v>0.8</v>
          </cell>
          <cell r="L144" t="str">
            <v>Need Input</v>
          </cell>
        </row>
        <row r="145">
          <cell r="A145" t="str">
            <v>Space Heat Electric fuel switch, space heater, oil</v>
          </cell>
          <cell r="B145">
            <v>145</v>
          </cell>
          <cell r="C145" t="str">
            <v>SFS</v>
          </cell>
          <cell r="D145" t="str">
            <v>SHFHFOIL</v>
          </cell>
          <cell r="E145">
            <v>30</v>
          </cell>
          <cell r="F145">
            <v>15</v>
          </cell>
          <cell r="G145" t="str">
            <v>Residential Space heat</v>
          </cell>
          <cell r="H145" t="str">
            <v>Electric baseboard</v>
          </cell>
          <cell r="I145" t="str">
            <v xml:space="preserve">Com. Distillate </v>
          </cell>
          <cell r="J145">
            <v>1</v>
          </cell>
          <cell r="K145">
            <v>0.84</v>
          </cell>
          <cell r="L145" t="str">
            <v>Need Input</v>
          </cell>
        </row>
        <row r="146">
          <cell r="A146" t="str">
            <v>Space Heat Electric fuel switch, space heater, wood</v>
          </cell>
          <cell r="B146">
            <v>146</v>
          </cell>
          <cell r="C146" t="str">
            <v>SFS</v>
          </cell>
          <cell r="D146" t="str">
            <v>SHFHWOOD</v>
          </cell>
          <cell r="E146">
            <v>30</v>
          </cell>
          <cell r="F146">
            <v>15</v>
          </cell>
          <cell r="G146" t="str">
            <v>Residential Space heat</v>
          </cell>
          <cell r="H146" t="str">
            <v>Electric baseboard</v>
          </cell>
          <cell r="I146" t="str">
            <v>Wood</v>
          </cell>
          <cell r="L146" t="str">
            <v>Need Input</v>
          </cell>
        </row>
        <row r="147">
          <cell r="A147" t="str">
            <v>Space Heat Electric fuel switch, Indirect from DHW system, oil</v>
          </cell>
          <cell r="B147">
            <v>147</v>
          </cell>
          <cell r="C147" t="str">
            <v>SFS</v>
          </cell>
          <cell r="D147" t="str">
            <v>SHFNFOIL</v>
          </cell>
          <cell r="E147">
            <v>30</v>
          </cell>
          <cell r="F147">
            <v>10</v>
          </cell>
          <cell r="G147" t="str">
            <v>Residential Space heat</v>
          </cell>
          <cell r="H147" t="str">
            <v>Electric baseboard</v>
          </cell>
          <cell r="I147" t="str">
            <v xml:space="preserve">Com. Distillate </v>
          </cell>
          <cell r="J147">
            <v>1</v>
          </cell>
          <cell r="K147">
            <v>0.65</v>
          </cell>
          <cell r="L147" t="str">
            <v>Need Input</v>
          </cell>
        </row>
        <row r="148">
          <cell r="A148" t="str">
            <v>Space Heat Electric fuel switch, Indirect from DHW system, natural gas</v>
          </cell>
          <cell r="B148">
            <v>148</v>
          </cell>
          <cell r="C148" t="str">
            <v>SFS</v>
          </cell>
          <cell r="D148" t="str">
            <v>SHFNNGAS</v>
          </cell>
          <cell r="E148">
            <v>30</v>
          </cell>
          <cell r="F148">
            <v>13</v>
          </cell>
          <cell r="G148" t="str">
            <v>Residential Space heat</v>
          </cell>
          <cell r="H148" t="str">
            <v>Electric baseboard</v>
          </cell>
          <cell r="I148" t="str">
            <v>Com. Natural Gas</v>
          </cell>
          <cell r="J148">
            <v>1</v>
          </cell>
          <cell r="K148">
            <v>0.65</v>
          </cell>
          <cell r="L148" t="str">
            <v>Need Input</v>
          </cell>
        </row>
        <row r="149">
          <cell r="A149" t="str">
            <v>Space Heat Electric fuel switch, Indirect from DHW system, propane</v>
          </cell>
          <cell r="B149">
            <v>149</v>
          </cell>
          <cell r="C149" t="str">
            <v>SFS</v>
          </cell>
          <cell r="D149" t="str">
            <v>SHFNPROP</v>
          </cell>
          <cell r="E149">
            <v>30</v>
          </cell>
          <cell r="F149">
            <v>13</v>
          </cell>
          <cell r="G149" t="str">
            <v>Residential Space heat</v>
          </cell>
          <cell r="H149" t="str">
            <v>Electric baseboard</v>
          </cell>
          <cell r="I149" t="str">
            <v xml:space="preserve">Com. LPG </v>
          </cell>
          <cell r="J149">
            <v>1</v>
          </cell>
          <cell r="K149">
            <v>0.65</v>
          </cell>
          <cell r="L149" t="str">
            <v>Need Input</v>
          </cell>
        </row>
        <row r="150">
          <cell r="A150" t="str">
            <v>Balance distribution</v>
          </cell>
          <cell r="B150">
            <v>150</v>
          </cell>
          <cell r="C150" t="str">
            <v>SHE</v>
          </cell>
          <cell r="D150" t="str">
            <v>SHEBALAN</v>
          </cell>
          <cell r="E150">
            <v>5</v>
          </cell>
          <cell r="G150" t="str">
            <v>Residential Space heat</v>
          </cell>
          <cell r="L150" t="str">
            <v>Need Input</v>
          </cell>
        </row>
        <row r="151">
          <cell r="A151" t="str">
            <v>Clean and tune furnace/boiler</v>
          </cell>
          <cell r="B151">
            <v>151</v>
          </cell>
          <cell r="C151" t="str">
            <v>SHE</v>
          </cell>
          <cell r="D151" t="str">
            <v>SHECLEAN</v>
          </cell>
          <cell r="E151">
            <v>5</v>
          </cell>
          <cell r="G151" t="str">
            <v>Residential Space heat</v>
          </cell>
          <cell r="L151" t="str">
            <v>Need Input</v>
          </cell>
        </row>
        <row r="152">
          <cell r="A152" t="str">
            <v>Efficient furnace fan motor</v>
          </cell>
          <cell r="B152">
            <v>152</v>
          </cell>
          <cell r="C152" t="str">
            <v>SHI</v>
          </cell>
          <cell r="D152" t="str">
            <v>SHEFNMTR</v>
          </cell>
          <cell r="E152">
            <v>18</v>
          </cell>
          <cell r="G152" t="str">
            <v>Residential Space heat</v>
          </cell>
          <cell r="L152" t="str">
            <v>Need Input</v>
          </cell>
        </row>
        <row r="153">
          <cell r="A153" t="str">
            <v>Duct air sealing and insulation</v>
          </cell>
          <cell r="B153">
            <v>153</v>
          </cell>
          <cell r="C153" t="str">
            <v>SHE</v>
          </cell>
          <cell r="D153" t="str">
            <v>SHEDUCTS</v>
          </cell>
          <cell r="E153">
            <v>13</v>
          </cell>
          <cell r="G153" t="str">
            <v>Residential Space heat</v>
          </cell>
          <cell r="L153" t="str">
            <v>Need Input</v>
          </cell>
        </row>
        <row r="154">
          <cell r="A154" t="str">
            <v>Pipe Insulation</v>
          </cell>
          <cell r="B154">
            <v>154</v>
          </cell>
          <cell r="C154" t="str">
            <v>SHE</v>
          </cell>
          <cell r="D154" t="str">
            <v>SHEPINSU</v>
          </cell>
          <cell r="E154">
            <v>13</v>
          </cell>
          <cell r="G154" t="str">
            <v>Residential DHW insulation</v>
          </cell>
          <cell r="L154" t="str">
            <v>Need Input</v>
          </cell>
        </row>
        <row r="155">
          <cell r="A155" t="str">
            <v>Improve heating system controls</v>
          </cell>
          <cell r="B155">
            <v>155</v>
          </cell>
          <cell r="C155" t="str">
            <v>SHE</v>
          </cell>
          <cell r="D155" t="str">
            <v>SHECONTR</v>
          </cell>
          <cell r="E155">
            <v>10</v>
          </cell>
          <cell r="G155" t="str">
            <v>Residential Space heat</v>
          </cell>
          <cell r="L155" t="str">
            <v>Need Input</v>
          </cell>
        </row>
        <row r="156">
          <cell r="A156" t="str">
            <v>Setback thermostat</v>
          </cell>
          <cell r="B156">
            <v>156</v>
          </cell>
          <cell r="C156" t="str">
            <v>SHE</v>
          </cell>
          <cell r="D156" t="str">
            <v>SHETHERM</v>
          </cell>
          <cell r="E156">
            <v>10</v>
          </cell>
          <cell r="G156" t="str">
            <v>Residential Space heat</v>
          </cell>
          <cell r="L156" t="str">
            <v>Need Input</v>
          </cell>
        </row>
        <row r="157">
          <cell r="A157" t="str">
            <v>Multizone heating controls</v>
          </cell>
          <cell r="B157">
            <v>157</v>
          </cell>
          <cell r="C157" t="str">
            <v>SHE</v>
          </cell>
          <cell r="D157" t="str">
            <v>SHEZONES</v>
          </cell>
          <cell r="E157">
            <v>10</v>
          </cell>
          <cell r="G157" t="str">
            <v>Residential Space heat</v>
          </cell>
          <cell r="L157" t="str">
            <v>Need Input</v>
          </cell>
        </row>
        <row r="158">
          <cell r="A158" t="str">
            <v>Space Heat Commissioning</v>
          </cell>
          <cell r="B158">
            <v>189</v>
          </cell>
          <cell r="C158" t="str">
            <v>SHE</v>
          </cell>
          <cell r="D158" t="str">
            <v>SHECOMMI</v>
          </cell>
          <cell r="E158">
            <v>10</v>
          </cell>
          <cell r="G158" t="str">
            <v>Residential Space heat</v>
          </cell>
          <cell r="L158" t="str">
            <v>Need Input</v>
          </cell>
        </row>
        <row r="159">
          <cell r="A159" t="str">
            <v>Custom space heat efficiency</v>
          </cell>
          <cell r="B159">
            <v>159</v>
          </cell>
          <cell r="C159" t="str">
            <v>SHE</v>
          </cell>
          <cell r="D159" t="str">
            <v>SHEZZZZZ</v>
          </cell>
          <cell r="E159">
            <v>15</v>
          </cell>
          <cell r="G159" t="str">
            <v>Residential Space heat</v>
          </cell>
          <cell r="L159" t="str">
            <v>Need Input</v>
          </cell>
        </row>
        <row r="160">
          <cell r="A160" t="str">
            <v>Space Heat Replace boiler, oil</v>
          </cell>
          <cell r="B160">
            <v>160</v>
          </cell>
          <cell r="C160" t="str">
            <v>SHR</v>
          </cell>
          <cell r="D160" t="str">
            <v>SHRBFOIL</v>
          </cell>
          <cell r="E160">
            <v>25</v>
          </cell>
          <cell r="G160" t="str">
            <v>Residential Space heat</v>
          </cell>
          <cell r="H160" t="str">
            <v>Oil boiler</v>
          </cell>
          <cell r="I160" t="str">
            <v xml:space="preserve">Com. Distillate </v>
          </cell>
          <cell r="L160">
            <v>2500</v>
          </cell>
        </row>
        <row r="161">
          <cell r="A161" t="str">
            <v>Space Heat Replace boiler, natural gas</v>
          </cell>
          <cell r="B161">
            <v>161</v>
          </cell>
          <cell r="C161" t="str">
            <v>SHR</v>
          </cell>
          <cell r="D161" t="str">
            <v>SHRBNGAS</v>
          </cell>
          <cell r="E161">
            <v>25</v>
          </cell>
          <cell r="G161" t="str">
            <v>Residential Space heat</v>
          </cell>
          <cell r="H161" t="str">
            <v>NG boiler</v>
          </cell>
          <cell r="I161" t="str">
            <v>Com. Natural Gas</v>
          </cell>
          <cell r="L161">
            <v>2500</v>
          </cell>
        </row>
        <row r="162">
          <cell r="A162" t="str">
            <v>Space Heat Replace boiler, propane</v>
          </cell>
          <cell r="B162">
            <v>162</v>
          </cell>
          <cell r="C162" t="str">
            <v>SHR</v>
          </cell>
          <cell r="D162" t="str">
            <v>SHRBPROP</v>
          </cell>
          <cell r="E162">
            <v>25</v>
          </cell>
          <cell r="G162" t="str">
            <v>Residential Space heat</v>
          </cell>
          <cell r="H162" t="str">
            <v>Propane boiler</v>
          </cell>
          <cell r="I162" t="str">
            <v xml:space="preserve">Com. LPG </v>
          </cell>
          <cell r="L162">
            <v>2500</v>
          </cell>
        </row>
        <row r="163">
          <cell r="A163" t="str">
            <v>Space Heat Replace boiler, wood</v>
          </cell>
          <cell r="B163">
            <v>163</v>
          </cell>
          <cell r="C163" t="str">
            <v>SHR</v>
          </cell>
          <cell r="D163" t="str">
            <v>SHRBWOOD</v>
          </cell>
          <cell r="E163">
            <v>25</v>
          </cell>
          <cell r="G163" t="str">
            <v>Residential Space heat</v>
          </cell>
          <cell r="H163" t="str">
            <v>Wood</v>
          </cell>
          <cell r="I163" t="str">
            <v>Wood</v>
          </cell>
          <cell r="L163">
            <v>2500</v>
          </cell>
        </row>
        <row r="164">
          <cell r="A164" t="str">
            <v>Space Heat Replace furnace, fuel oil</v>
          </cell>
          <cell r="B164">
            <v>164</v>
          </cell>
          <cell r="C164" t="str">
            <v>SHR</v>
          </cell>
          <cell r="D164" t="str">
            <v>SHRFFOIL</v>
          </cell>
          <cell r="E164">
            <v>20</v>
          </cell>
          <cell r="G164" t="str">
            <v>Residential Space heat</v>
          </cell>
          <cell r="H164" t="str">
            <v>Oil furnace</v>
          </cell>
          <cell r="I164" t="str">
            <v xml:space="preserve">Com. Distillate </v>
          </cell>
          <cell r="L164">
            <v>2000</v>
          </cell>
        </row>
        <row r="165">
          <cell r="A165" t="str">
            <v>Space Heat Replace furnace, natural gas</v>
          </cell>
          <cell r="B165">
            <v>165</v>
          </cell>
          <cell r="C165" t="str">
            <v>SHR</v>
          </cell>
          <cell r="D165" t="str">
            <v>SHRFNGAS</v>
          </cell>
          <cell r="E165">
            <v>20</v>
          </cell>
          <cell r="G165" t="str">
            <v>Residential Space heat</v>
          </cell>
          <cell r="H165" t="str">
            <v>NG furnace</v>
          </cell>
          <cell r="I165" t="str">
            <v>Com. Natural Gas</v>
          </cell>
          <cell r="L165">
            <v>2000</v>
          </cell>
        </row>
        <row r="166">
          <cell r="A166" t="str">
            <v>Space Heat Replace furnace, propane</v>
          </cell>
          <cell r="B166">
            <v>166</v>
          </cell>
          <cell r="C166" t="str">
            <v>SHR</v>
          </cell>
          <cell r="D166" t="str">
            <v>SHRFPROP</v>
          </cell>
          <cell r="E166">
            <v>20</v>
          </cell>
          <cell r="G166" t="str">
            <v>Residential Space heat</v>
          </cell>
          <cell r="H166" t="str">
            <v>Propane furnace</v>
          </cell>
          <cell r="I166" t="str">
            <v xml:space="preserve">Com. LPG </v>
          </cell>
          <cell r="L166">
            <v>2000</v>
          </cell>
        </row>
        <row r="167">
          <cell r="A167" t="str">
            <v>Space Heat Replace furnace, wood</v>
          </cell>
          <cell r="B167">
            <v>167</v>
          </cell>
          <cell r="C167" t="str">
            <v>SHR</v>
          </cell>
          <cell r="D167" t="str">
            <v>SHRFWOOD</v>
          </cell>
          <cell r="E167">
            <v>20</v>
          </cell>
          <cell r="G167" t="str">
            <v>Residential Space heat</v>
          </cell>
          <cell r="H167" t="str">
            <v>Wood</v>
          </cell>
          <cell r="I167" t="str">
            <v>Wood</v>
          </cell>
          <cell r="L167">
            <v>2000</v>
          </cell>
        </row>
        <row r="168">
          <cell r="A168" t="str">
            <v>Space Heat Replace space heater, kerosene</v>
          </cell>
          <cell r="B168">
            <v>168</v>
          </cell>
          <cell r="C168" t="str">
            <v>SHR</v>
          </cell>
          <cell r="D168" t="str">
            <v>SHRHKERO</v>
          </cell>
          <cell r="E168">
            <v>15</v>
          </cell>
          <cell r="G168" t="str">
            <v>Residential Space heat</v>
          </cell>
          <cell r="H168" t="str">
            <v>Kerosene space htr</v>
          </cell>
          <cell r="I168" t="str">
            <v>Kerosene</v>
          </cell>
          <cell r="L168" t="str">
            <v>Need Input</v>
          </cell>
        </row>
        <row r="169">
          <cell r="A169" t="str">
            <v>Space Heat Replace space heater, natural gas</v>
          </cell>
          <cell r="B169">
            <v>169</v>
          </cell>
          <cell r="C169" t="str">
            <v>SHR</v>
          </cell>
          <cell r="D169" t="str">
            <v>SHRHNGAS</v>
          </cell>
          <cell r="E169">
            <v>15</v>
          </cell>
          <cell r="G169" t="str">
            <v>Residential Space heat</v>
          </cell>
          <cell r="H169" t="str">
            <v>NG space htr</v>
          </cell>
          <cell r="I169" t="str">
            <v>Com. Natural Gas</v>
          </cell>
          <cell r="L169" t="str">
            <v>Need Input</v>
          </cell>
        </row>
        <row r="170">
          <cell r="A170" t="str">
            <v>Space Heat Replace space heater, propane</v>
          </cell>
          <cell r="B170">
            <v>170</v>
          </cell>
          <cell r="C170" t="str">
            <v>SHR</v>
          </cell>
          <cell r="D170" t="str">
            <v>SHRHPROP</v>
          </cell>
          <cell r="E170">
            <v>15</v>
          </cell>
          <cell r="G170" t="str">
            <v>Residential Space heat</v>
          </cell>
          <cell r="H170" t="str">
            <v>Propane space htr</v>
          </cell>
          <cell r="I170" t="str">
            <v xml:space="preserve">Com. LPG </v>
          </cell>
          <cell r="L170" t="str">
            <v>Need Input</v>
          </cell>
        </row>
        <row r="171">
          <cell r="A171" t="str">
            <v>Space Heat Replace space heater, oil</v>
          </cell>
          <cell r="B171">
            <v>171</v>
          </cell>
          <cell r="C171" t="str">
            <v>SHR</v>
          </cell>
          <cell r="D171" t="str">
            <v>SHRHFOIL</v>
          </cell>
          <cell r="E171">
            <v>15</v>
          </cell>
          <cell r="G171" t="str">
            <v>Residential Space heat</v>
          </cell>
          <cell r="I171" t="str">
            <v xml:space="preserve">Com. Distillate </v>
          </cell>
          <cell r="L171" t="str">
            <v>Need Input</v>
          </cell>
        </row>
        <row r="172">
          <cell r="A172" t="str">
            <v>Space Heat Replace space heater, wood</v>
          </cell>
          <cell r="B172">
            <v>172</v>
          </cell>
          <cell r="C172" t="str">
            <v>SHR</v>
          </cell>
          <cell r="D172" t="str">
            <v>SHRHWOOD</v>
          </cell>
          <cell r="E172">
            <v>15</v>
          </cell>
          <cell r="G172" t="str">
            <v>Residential Space heat</v>
          </cell>
          <cell r="H172" t="str">
            <v>Wood</v>
          </cell>
          <cell r="I172" t="str">
            <v>Wood</v>
          </cell>
          <cell r="L172" t="str">
            <v>Need Input</v>
          </cell>
        </row>
        <row r="173">
          <cell r="A173" t="str">
            <v>Airsealing</v>
          </cell>
          <cell r="B173">
            <v>173</v>
          </cell>
          <cell r="C173" t="str">
            <v>TSI</v>
          </cell>
          <cell r="D173" t="str">
            <v>TSHAIRSL</v>
          </cell>
          <cell r="E173">
            <v>15</v>
          </cell>
          <cell r="G173" t="str">
            <v>Residential Space heat</v>
          </cell>
          <cell r="L173" t="str">
            <v>Need Input</v>
          </cell>
        </row>
        <row r="174">
          <cell r="A174" t="str">
            <v>Door improvements</v>
          </cell>
          <cell r="B174">
            <v>174</v>
          </cell>
          <cell r="C174" t="str">
            <v>TSI</v>
          </cell>
          <cell r="D174" t="str">
            <v>TSHDOORS</v>
          </cell>
          <cell r="E174">
            <v>15</v>
          </cell>
          <cell r="G174" t="str">
            <v>Residential Space heat</v>
          </cell>
          <cell r="L174" t="str">
            <v>Need Input</v>
          </cell>
        </row>
        <row r="175">
          <cell r="A175" t="str">
            <v>Attic/ceiling/wall insulation</v>
          </cell>
          <cell r="B175">
            <v>175</v>
          </cell>
          <cell r="C175" t="str">
            <v>TSI</v>
          </cell>
          <cell r="D175" t="str">
            <v>TSHNACWL</v>
          </cell>
          <cell r="E175">
            <v>30</v>
          </cell>
          <cell r="G175" t="str">
            <v>Residential Space heat</v>
          </cell>
          <cell r="L175" t="str">
            <v>Need Input</v>
          </cell>
        </row>
        <row r="176">
          <cell r="A176" t="str">
            <v>Insulate and airseal</v>
          </cell>
          <cell r="B176">
            <v>176</v>
          </cell>
          <cell r="C176" t="str">
            <v>TSI</v>
          </cell>
          <cell r="D176" t="str">
            <v>TSHNAIRS</v>
          </cell>
          <cell r="E176">
            <v>25</v>
          </cell>
          <cell r="G176" t="str">
            <v>Residential Space heat</v>
          </cell>
          <cell r="L176" t="str">
            <v>Need Input</v>
          </cell>
        </row>
        <row r="177">
          <cell r="A177" t="str">
            <v>Whole-building insulation</v>
          </cell>
          <cell r="B177">
            <v>177</v>
          </cell>
          <cell r="C177" t="str">
            <v>TSI</v>
          </cell>
          <cell r="D177" t="str">
            <v>TSHNBLDG</v>
          </cell>
          <cell r="E177">
            <v>25</v>
          </cell>
          <cell r="G177" t="str">
            <v>Residential Space heat</v>
          </cell>
          <cell r="L177" t="str">
            <v>Need Input</v>
          </cell>
        </row>
        <row r="178">
          <cell r="A178" t="str">
            <v>Foundation insulation, exterior</v>
          </cell>
          <cell r="B178">
            <v>178</v>
          </cell>
          <cell r="C178" t="str">
            <v>TSI</v>
          </cell>
          <cell r="D178" t="str">
            <v>TSHNFNDE</v>
          </cell>
          <cell r="E178">
            <v>15</v>
          </cell>
          <cell r="G178" t="str">
            <v>Residential Space heat</v>
          </cell>
          <cell r="L178" t="str">
            <v>Need Input</v>
          </cell>
        </row>
        <row r="179">
          <cell r="A179" t="str">
            <v>Foundation insulation, interior</v>
          </cell>
          <cell r="B179">
            <v>179</v>
          </cell>
          <cell r="C179" t="str">
            <v>TSI</v>
          </cell>
          <cell r="D179" t="str">
            <v>TSHNFNDN</v>
          </cell>
          <cell r="E179">
            <v>20</v>
          </cell>
          <cell r="G179" t="str">
            <v>Residential Space heat</v>
          </cell>
          <cell r="L179" t="str">
            <v>Need Input</v>
          </cell>
        </row>
        <row r="180">
          <cell r="A180" t="str">
            <v>Passive solar design</v>
          </cell>
          <cell r="B180">
            <v>180</v>
          </cell>
          <cell r="C180" t="str">
            <v>TSI</v>
          </cell>
          <cell r="D180" t="str">
            <v>TSHPVSOL</v>
          </cell>
          <cell r="E180">
            <v>30</v>
          </cell>
          <cell r="G180" t="str">
            <v>Residential Space heat</v>
          </cell>
          <cell r="L180" t="str">
            <v>Need Input</v>
          </cell>
        </row>
        <row r="181">
          <cell r="A181" t="str">
            <v>Window improvements</v>
          </cell>
          <cell r="B181">
            <v>181</v>
          </cell>
          <cell r="C181" t="str">
            <v>TSI</v>
          </cell>
          <cell r="D181" t="str">
            <v>TSHWINDO</v>
          </cell>
          <cell r="E181">
            <v>15</v>
          </cell>
          <cell r="G181" t="str">
            <v>Residential Space heat</v>
          </cell>
          <cell r="L181" t="str">
            <v>Need Input</v>
          </cell>
        </row>
        <row r="182">
          <cell r="A182" t="str">
            <v>Comprehensive heating system/Shell savings (e.g. REMRate) - boiler</v>
          </cell>
          <cell r="B182">
            <v>182</v>
          </cell>
          <cell r="C182" t="str">
            <v>TSI</v>
          </cell>
          <cell r="D182" t="str">
            <v>TSHCOMPR</v>
          </cell>
          <cell r="E182">
            <v>25</v>
          </cell>
          <cell r="G182" t="str">
            <v>Residential Space heat</v>
          </cell>
          <cell r="L182" t="str">
            <v>Need Input</v>
          </cell>
        </row>
        <row r="183">
          <cell r="A183" t="str">
            <v>Comprehensive heating system/Shell savings (e.g. REMRate) - furnace</v>
          </cell>
          <cell r="B183">
            <v>183</v>
          </cell>
          <cell r="C183" t="str">
            <v>TSI</v>
          </cell>
          <cell r="D183" t="str">
            <v>TSHCOMPR</v>
          </cell>
          <cell r="E183">
            <v>20</v>
          </cell>
          <cell r="G183" t="str">
            <v>Residential Space heat</v>
          </cell>
          <cell r="L183" t="str">
            <v>Need Input</v>
          </cell>
        </row>
        <row r="184">
          <cell r="A184" t="str">
            <v>Comprehensive heating system/Shell savings (e.g. REMRate) - space heater</v>
          </cell>
          <cell r="B184">
            <v>184</v>
          </cell>
          <cell r="C184" t="str">
            <v>TSI</v>
          </cell>
          <cell r="D184" t="str">
            <v>TSHCOMPR</v>
          </cell>
          <cell r="E184">
            <v>15</v>
          </cell>
          <cell r="G184" t="str">
            <v>Residential Space heat</v>
          </cell>
          <cell r="L184" t="str">
            <v>Need Input</v>
          </cell>
        </row>
        <row r="185">
          <cell r="A185" t="str">
            <v>Balanced ventilator, makeup heat electric</v>
          </cell>
          <cell r="B185">
            <v>185</v>
          </cell>
          <cell r="C185" t="str">
            <v>VEN</v>
          </cell>
          <cell r="D185" t="str">
            <v>VNTBELEC</v>
          </cell>
          <cell r="E185">
            <v>15</v>
          </cell>
          <cell r="G185" t="str">
            <v>Residential Ventilation</v>
          </cell>
          <cell r="L185" t="str">
            <v>Need Input</v>
          </cell>
        </row>
        <row r="186">
          <cell r="A186" t="str">
            <v>Balanced ventilator, makeup heat oil</v>
          </cell>
          <cell r="B186">
            <v>186</v>
          </cell>
          <cell r="C186" t="str">
            <v>VEN</v>
          </cell>
          <cell r="D186" t="str">
            <v>VNTBFOIL</v>
          </cell>
          <cell r="E186">
            <v>15</v>
          </cell>
          <cell r="G186" t="str">
            <v>Residential Ventilation</v>
          </cell>
          <cell r="I186" t="str">
            <v xml:space="preserve">Com. Distillate </v>
          </cell>
          <cell r="L186" t="str">
            <v>Need Input</v>
          </cell>
        </row>
        <row r="187">
          <cell r="A187" t="str">
            <v>Balanced ventilator, makeup heat natural gas</v>
          </cell>
          <cell r="B187">
            <v>187</v>
          </cell>
          <cell r="C187" t="str">
            <v>VEN</v>
          </cell>
          <cell r="D187" t="str">
            <v>VNTBNGAS</v>
          </cell>
          <cell r="E187">
            <v>15</v>
          </cell>
          <cell r="G187" t="str">
            <v>Residential Ventilation</v>
          </cell>
          <cell r="I187" t="str">
            <v>Com. Natural Gas</v>
          </cell>
          <cell r="L187" t="str">
            <v>Need Input</v>
          </cell>
        </row>
        <row r="188">
          <cell r="A188" t="str">
            <v>Balanced ventilator, makeup heat none</v>
          </cell>
          <cell r="B188">
            <v>188</v>
          </cell>
          <cell r="C188" t="str">
            <v>VEN</v>
          </cell>
          <cell r="D188" t="str">
            <v>VNTBNONE</v>
          </cell>
          <cell r="E188">
            <v>15</v>
          </cell>
          <cell r="G188" t="str">
            <v>Residential Ventilation</v>
          </cell>
          <cell r="L188" t="str">
            <v>Need Input</v>
          </cell>
        </row>
        <row r="189">
          <cell r="A189" t="str">
            <v>Balanced ventilator, makeup heat propane</v>
          </cell>
          <cell r="B189">
            <v>189</v>
          </cell>
          <cell r="C189" t="str">
            <v>VEN</v>
          </cell>
          <cell r="D189" t="str">
            <v>VNTBPROP</v>
          </cell>
          <cell r="E189">
            <v>15</v>
          </cell>
          <cell r="G189" t="str">
            <v>Residential Ventilation</v>
          </cell>
          <cell r="I189" t="str">
            <v xml:space="preserve">Com. LPG </v>
          </cell>
          <cell r="L189" t="str">
            <v>Need Input</v>
          </cell>
        </row>
        <row r="190">
          <cell r="A190" t="str">
            <v>HRV ventilator, makeup heat electric</v>
          </cell>
          <cell r="B190">
            <v>190</v>
          </cell>
          <cell r="C190" t="str">
            <v>VEN</v>
          </cell>
          <cell r="D190" t="str">
            <v>VNTHELEC</v>
          </cell>
          <cell r="E190">
            <v>15</v>
          </cell>
          <cell r="G190" t="str">
            <v>Residential Ventilation</v>
          </cell>
          <cell r="L190" t="str">
            <v>Need Input</v>
          </cell>
        </row>
        <row r="191">
          <cell r="A191" t="str">
            <v>HRV ventilator, makeup heat oil</v>
          </cell>
          <cell r="B191">
            <v>191</v>
          </cell>
          <cell r="C191" t="str">
            <v>VEN</v>
          </cell>
          <cell r="D191" t="str">
            <v>VNTHFOIL</v>
          </cell>
          <cell r="E191">
            <v>15</v>
          </cell>
          <cell r="G191" t="str">
            <v>Residential Ventilation</v>
          </cell>
          <cell r="I191" t="str">
            <v xml:space="preserve">Com. Distillate </v>
          </cell>
          <cell r="L191" t="str">
            <v>Need Input</v>
          </cell>
        </row>
        <row r="192">
          <cell r="A192" t="str">
            <v>HRV ventilator, makeup heat natural gas</v>
          </cell>
          <cell r="B192">
            <v>192</v>
          </cell>
          <cell r="C192" t="str">
            <v>VEN</v>
          </cell>
          <cell r="D192" t="str">
            <v>VNTHNGAS</v>
          </cell>
          <cell r="E192">
            <v>15</v>
          </cell>
          <cell r="G192" t="str">
            <v>Residential Ventilation</v>
          </cell>
          <cell r="I192" t="str">
            <v>Com. Natural Gas</v>
          </cell>
          <cell r="L192" t="str">
            <v>Need Input</v>
          </cell>
        </row>
        <row r="193">
          <cell r="A193" t="str">
            <v>HRV ventilator, makeup heat none</v>
          </cell>
          <cell r="B193">
            <v>193</v>
          </cell>
          <cell r="C193" t="str">
            <v>VEN</v>
          </cell>
          <cell r="D193" t="str">
            <v>VNTHNONE</v>
          </cell>
          <cell r="E193">
            <v>15</v>
          </cell>
          <cell r="G193" t="str">
            <v>Residential Ventilation</v>
          </cell>
          <cell r="L193" t="str">
            <v>Need Input</v>
          </cell>
        </row>
        <row r="194">
          <cell r="A194" t="str">
            <v>HRV ventilator, makeup heat propane</v>
          </cell>
          <cell r="B194">
            <v>194</v>
          </cell>
          <cell r="C194" t="str">
            <v>VEN</v>
          </cell>
          <cell r="D194" t="str">
            <v>VNTHPROP</v>
          </cell>
          <cell r="E194">
            <v>15</v>
          </cell>
          <cell r="G194" t="str">
            <v>Residential Ventilation</v>
          </cell>
          <cell r="I194" t="str">
            <v xml:space="preserve">Com. LPG </v>
          </cell>
          <cell r="L194" t="str">
            <v>Need Input</v>
          </cell>
        </row>
        <row r="195">
          <cell r="A195" t="str">
            <v>Efficient ceiling fan</v>
          </cell>
          <cell r="B195">
            <v>195</v>
          </cell>
          <cell r="C195" t="str">
            <v>VEN</v>
          </cell>
          <cell r="D195" t="str">
            <v>VNTCLFAN</v>
          </cell>
          <cell r="E195">
            <v>10</v>
          </cell>
          <cell r="G195" t="str">
            <v>Residential Ventilation</v>
          </cell>
          <cell r="L195" t="str">
            <v>Need Input</v>
          </cell>
        </row>
        <row r="196">
          <cell r="A196" t="str">
            <v>Mechanical ventilation, unspecified</v>
          </cell>
          <cell r="B196">
            <v>196</v>
          </cell>
          <cell r="C196" t="str">
            <v>VEN</v>
          </cell>
          <cell r="D196" t="str">
            <v>VNTMECHV</v>
          </cell>
          <cell r="E196">
            <v>10</v>
          </cell>
          <cell r="G196" t="str">
            <v>Residential Ventilation</v>
          </cell>
          <cell r="L196" t="str">
            <v>Need Input</v>
          </cell>
        </row>
        <row r="197">
          <cell r="A197" t="str">
            <v>Exhaust fan, ceiling</v>
          </cell>
          <cell r="B197">
            <v>197</v>
          </cell>
          <cell r="C197" t="str">
            <v>VEN</v>
          </cell>
          <cell r="D197" t="str">
            <v>VNTXCEIL</v>
          </cell>
          <cell r="E197">
            <v>10</v>
          </cell>
          <cell r="G197" t="str">
            <v>Residential Ventilation</v>
          </cell>
          <cell r="L197">
            <v>110</v>
          </cell>
          <cell r="M197">
            <v>110</v>
          </cell>
        </row>
        <row r="198">
          <cell r="A198" t="str">
            <v>Exhaust fan, inline</v>
          </cell>
          <cell r="B198">
            <v>198</v>
          </cell>
          <cell r="C198" t="str">
            <v>VEN</v>
          </cell>
          <cell r="D198" t="str">
            <v>VNTXLINE</v>
          </cell>
          <cell r="E198">
            <v>10</v>
          </cell>
          <cell r="G198" t="str">
            <v>Residential Ventilation</v>
          </cell>
          <cell r="L198" t="str">
            <v>Need Input</v>
          </cell>
        </row>
        <row r="199">
          <cell r="A199" t="str">
            <v>Exhaust fan, variable speed</v>
          </cell>
          <cell r="B199">
            <v>199</v>
          </cell>
          <cell r="C199" t="str">
            <v>VEN</v>
          </cell>
          <cell r="D199" t="str">
            <v>VNTXVFAN</v>
          </cell>
          <cell r="E199">
            <v>10</v>
          </cell>
          <cell r="G199" t="str">
            <v>Residential Ventilation</v>
          </cell>
          <cell r="L199" t="str">
            <v>Need Input</v>
          </cell>
        </row>
        <row r="200">
          <cell r="A200" t="str">
            <v>Exhaust fan, wall</v>
          </cell>
          <cell r="B200">
            <v>200</v>
          </cell>
          <cell r="C200" t="str">
            <v>VEN</v>
          </cell>
          <cell r="D200" t="str">
            <v>VNTXWALL</v>
          </cell>
          <cell r="E200">
            <v>10</v>
          </cell>
          <cell r="G200" t="str">
            <v>Residential Ventilation</v>
          </cell>
          <cell r="L200" t="str">
            <v>Need Input</v>
          </cell>
        </row>
        <row r="201">
          <cell r="A201" t="str">
            <v>Demand controlled ventilation</v>
          </cell>
          <cell r="B201">
            <v>201</v>
          </cell>
          <cell r="C201" t="str">
            <v>VEN</v>
          </cell>
          <cell r="D201" t="str">
            <v>VNTDEMAN</v>
          </cell>
          <cell r="E201">
            <v>10</v>
          </cell>
          <cell r="G201" t="str">
            <v>Residential Ventilation</v>
          </cell>
          <cell r="L201" t="str">
            <v>Need Input</v>
          </cell>
        </row>
        <row r="202">
          <cell r="A202" t="str">
            <v>Ventilation Commissioning</v>
          </cell>
          <cell r="B202">
            <v>202</v>
          </cell>
          <cell r="C202" t="str">
            <v>VEN</v>
          </cell>
          <cell r="D202" t="str">
            <v>VNTCOMMI</v>
          </cell>
          <cell r="E202">
            <v>10</v>
          </cell>
          <cell r="G202" t="str">
            <v>Residential Ventilation</v>
          </cell>
          <cell r="L202" t="str">
            <v>Need Input</v>
          </cell>
        </row>
        <row r="203">
          <cell r="A203" t="str">
            <v>Custom ventilation</v>
          </cell>
          <cell r="B203">
            <v>203</v>
          </cell>
          <cell r="C203" t="str">
            <v>VEN</v>
          </cell>
          <cell r="D203" t="str">
            <v>VNTZZZZZ</v>
          </cell>
          <cell r="E203">
            <v>10</v>
          </cell>
          <cell r="G203" t="str">
            <v>Residential Ventilation</v>
          </cell>
          <cell r="L203" t="str">
            <v>Need Input</v>
          </cell>
        </row>
        <row r="204">
          <cell r="A204" t="str">
            <v>Ventilation, health only</v>
          </cell>
          <cell r="B204">
            <v>204</v>
          </cell>
          <cell r="C204" t="str">
            <v>VEN</v>
          </cell>
          <cell r="D204" t="str">
            <v>HASVENTL</v>
          </cell>
          <cell r="E204">
            <v>10</v>
          </cell>
          <cell r="G204" t="str">
            <v>Residential Ventilation</v>
          </cell>
          <cell r="L204" t="str">
            <v>Need Input</v>
          </cell>
        </row>
        <row r="205">
          <cell r="A205" t="str">
            <v xml:space="preserve">ENTER NEW CUSTOM MEASURES BELOW  Bright yellow = required entry.  </v>
          </cell>
          <cell r="B205">
            <v>205</v>
          </cell>
          <cell r="C205" t="str">
            <v>Do not enter lighting measures in this table</v>
          </cell>
        </row>
        <row r="206">
          <cell r="A206" t="str">
            <v>Tank Wrap RNC</v>
          </cell>
          <cell r="B206">
            <v>206</v>
          </cell>
          <cell r="C206" t="str">
            <v>OTH</v>
          </cell>
          <cell r="D206" t="str">
            <v>HWEINSUL</v>
          </cell>
          <cell r="E206">
            <v>7</v>
          </cell>
        </row>
        <row r="207">
          <cell r="A207" t="str">
            <v>Pipe Wrap RNC</v>
          </cell>
          <cell r="B207">
            <v>207</v>
          </cell>
          <cell r="C207" t="str">
            <v>OTH</v>
          </cell>
          <cell r="D207" t="str">
            <v>HWEPIPES</v>
          </cell>
          <cell r="E207">
            <v>13</v>
          </cell>
        </row>
        <row r="208">
          <cell r="A208" t="str">
            <v>Tank Temp Set-back RNC</v>
          </cell>
          <cell r="B208">
            <v>208</v>
          </cell>
          <cell r="C208" t="str">
            <v>OTH</v>
          </cell>
          <cell r="D208" t="str">
            <v>HWETEMPS</v>
          </cell>
          <cell r="E208">
            <v>7</v>
          </cell>
        </row>
        <row r="209">
          <cell r="A209" t="str">
            <v>Faucet Aerator RNC</v>
          </cell>
          <cell r="B209">
            <v>209</v>
          </cell>
          <cell r="C209" t="str">
            <v>OTH</v>
          </cell>
          <cell r="D209" t="str">
            <v>HWEFAUCT</v>
          </cell>
          <cell r="E209">
            <v>9</v>
          </cell>
        </row>
        <row r="210">
          <cell r="A210" t="str">
            <v>Shower Aerator RNC</v>
          </cell>
          <cell r="B210">
            <v>210</v>
          </cell>
          <cell r="C210" t="str">
            <v>OTH</v>
          </cell>
          <cell r="D210" t="str">
            <v>HWEFAUCT</v>
          </cell>
          <cell r="E210">
            <v>9</v>
          </cell>
        </row>
        <row r="211">
          <cell r="A211" t="str">
            <v>Ventilation Fan RNC</v>
          </cell>
          <cell r="B211">
            <v>211</v>
          </cell>
          <cell r="C211" t="str">
            <v>OTH</v>
          </cell>
          <cell r="D211" t="str">
            <v>VNTMECHV</v>
          </cell>
          <cell r="E211">
            <v>10</v>
          </cell>
        </row>
        <row r="212">
          <cell r="A212" t="str">
            <v>Energy Star Refrigerator</v>
          </cell>
          <cell r="B212">
            <v>212</v>
          </cell>
          <cell r="C212" t="str">
            <v>OTH</v>
          </cell>
          <cell r="D212" t="str">
            <v>RFRESRRP</v>
          </cell>
          <cell r="E212">
            <v>17</v>
          </cell>
        </row>
        <row r="213">
          <cell r="A213" t="str">
            <v>Refrigerator Top-Third RNC</v>
          </cell>
          <cell r="B213">
            <v>213</v>
          </cell>
          <cell r="C213" t="str">
            <v>OTH</v>
          </cell>
          <cell r="D213" t="str">
            <v>RFRTTRRP</v>
          </cell>
          <cell r="E213">
            <v>17</v>
          </cell>
        </row>
        <row r="214">
          <cell r="A214" t="str">
            <v>DHW Shell Savings SFD EnergyStar Home Oil</v>
          </cell>
          <cell r="B214">
            <v>214</v>
          </cell>
          <cell r="C214" t="str">
            <v>OTH</v>
          </cell>
          <cell r="D214" t="str">
            <v>HWERATD2</v>
          </cell>
          <cell r="E214">
            <v>25</v>
          </cell>
        </row>
        <row r="215">
          <cell r="A215" t="str">
            <v>DHW Shell Savings SFD EnergyStar Home Gas</v>
          </cell>
          <cell r="B215">
            <v>215</v>
          </cell>
          <cell r="C215" t="str">
            <v>OTH</v>
          </cell>
          <cell r="D215" t="str">
            <v>HWERATD2</v>
          </cell>
          <cell r="E215">
            <v>25</v>
          </cell>
        </row>
        <row r="216">
          <cell r="A216" t="str">
            <v>DHW Shell Savings SFD EnergyStar Home Propane</v>
          </cell>
          <cell r="B216">
            <v>216</v>
          </cell>
          <cell r="C216" t="str">
            <v>OTH</v>
          </cell>
          <cell r="D216" t="str">
            <v>HWERATD2</v>
          </cell>
          <cell r="E216">
            <v>25</v>
          </cell>
        </row>
        <row r="217">
          <cell r="A217" t="str">
            <v>DHW Shell Savings SFD 4-Star Plus Oil</v>
          </cell>
          <cell r="B217">
            <v>217</v>
          </cell>
          <cell r="C217" t="str">
            <v>OTH</v>
          </cell>
          <cell r="D217" t="str">
            <v>HWERATD1</v>
          </cell>
          <cell r="E217">
            <v>25</v>
          </cell>
        </row>
        <row r="218">
          <cell r="A218" t="str">
            <v>DHW Shell Savings SFD 4-Star Plus Gas</v>
          </cell>
          <cell r="B218">
            <v>218</v>
          </cell>
          <cell r="C218" t="str">
            <v>OTH</v>
          </cell>
          <cell r="D218" t="str">
            <v>HWERATD1</v>
          </cell>
          <cell r="E218">
            <v>25</v>
          </cell>
        </row>
        <row r="219">
          <cell r="A219" t="str">
            <v>DHW Shell Saivngs SFD 4-Star Plus Propane</v>
          </cell>
          <cell r="B219">
            <v>219</v>
          </cell>
          <cell r="C219" t="str">
            <v>OTH</v>
          </cell>
          <cell r="D219" t="str">
            <v>HWERATD1</v>
          </cell>
          <cell r="E219">
            <v>25</v>
          </cell>
        </row>
        <row r="220">
          <cell r="A220" t="str">
            <v>DHW Shell Savings SFA Energy Star Home Oil</v>
          </cell>
          <cell r="B220">
            <v>220</v>
          </cell>
          <cell r="C220" t="str">
            <v>OTH</v>
          </cell>
          <cell r="D220" t="str">
            <v>HWERATA2</v>
          </cell>
          <cell r="E220">
            <v>25</v>
          </cell>
        </row>
        <row r="221">
          <cell r="A221" t="str">
            <v>DHW Shell Savings SFA EnergyStar Home Gas</v>
          </cell>
          <cell r="B221">
            <v>221</v>
          </cell>
          <cell r="C221" t="str">
            <v>OTH</v>
          </cell>
          <cell r="D221" t="str">
            <v>HWERATA2</v>
          </cell>
          <cell r="E221">
            <v>25</v>
          </cell>
        </row>
        <row r="222">
          <cell r="A222" t="str">
            <v>DHW Shell Savings SFA EnergyStar Home Propane</v>
          </cell>
          <cell r="B222">
            <v>222</v>
          </cell>
          <cell r="C222" t="str">
            <v>OTH</v>
          </cell>
          <cell r="D222" t="str">
            <v>HWERATA2</v>
          </cell>
          <cell r="E222">
            <v>25</v>
          </cell>
        </row>
        <row r="223">
          <cell r="A223" t="str">
            <v>DHW Shell Savings SFA 4-Star Plus Oil</v>
          </cell>
          <cell r="B223">
            <v>223</v>
          </cell>
          <cell r="C223" t="str">
            <v>OTH</v>
          </cell>
          <cell r="D223" t="str">
            <v>HWERATA1</v>
          </cell>
          <cell r="E223">
            <v>25</v>
          </cell>
        </row>
        <row r="224">
          <cell r="A224" t="str">
            <v>DHW Shell Savings SFA 4-Star Plus Gas</v>
          </cell>
          <cell r="B224">
            <v>224</v>
          </cell>
          <cell r="C224" t="str">
            <v>OTH</v>
          </cell>
          <cell r="D224" t="str">
            <v>HWERATA1</v>
          </cell>
          <cell r="E224">
            <v>25</v>
          </cell>
        </row>
        <row r="225">
          <cell r="A225" t="str">
            <v>DHW Shell Saivngs SFA 4-Star Plus Propane</v>
          </cell>
          <cell r="B225">
            <v>225</v>
          </cell>
          <cell r="C225" t="str">
            <v>OTH</v>
          </cell>
          <cell r="D225" t="str">
            <v>HWERATA1</v>
          </cell>
          <cell r="E225">
            <v>25</v>
          </cell>
        </row>
        <row r="226">
          <cell r="A226" t="str">
            <v>Heat Shell Savings SFD EnergyStar Home Oil</v>
          </cell>
          <cell r="B226">
            <v>226</v>
          </cell>
          <cell r="C226" t="str">
            <v>OTH</v>
          </cell>
          <cell r="D226" t="str">
            <v>TSHRATD2</v>
          </cell>
          <cell r="E226">
            <v>25</v>
          </cell>
        </row>
        <row r="227">
          <cell r="A227" t="str">
            <v>Heat Shell Savings SFD EnergyStar Home Gas</v>
          </cell>
          <cell r="B227">
            <v>227</v>
          </cell>
          <cell r="C227" t="str">
            <v>OTH</v>
          </cell>
          <cell r="D227" t="str">
            <v>TSHRATD2</v>
          </cell>
          <cell r="E227">
            <v>25</v>
          </cell>
        </row>
        <row r="228">
          <cell r="A228" t="str">
            <v>Heat Shell Savings SFD EnergyStar Home Propane</v>
          </cell>
          <cell r="B228">
            <v>228</v>
          </cell>
          <cell r="C228" t="str">
            <v>OTH</v>
          </cell>
          <cell r="D228" t="str">
            <v>TSHRATD2</v>
          </cell>
          <cell r="E228">
            <v>25</v>
          </cell>
        </row>
        <row r="229">
          <cell r="A229" t="str">
            <v>Heat Shell Savings SFD 4-Star Plus Oil</v>
          </cell>
          <cell r="B229">
            <v>229</v>
          </cell>
          <cell r="C229" t="str">
            <v>OTH</v>
          </cell>
          <cell r="D229" t="str">
            <v>TSHRATD1</v>
          </cell>
          <cell r="E229">
            <v>25</v>
          </cell>
        </row>
        <row r="230">
          <cell r="A230" t="str">
            <v>Heat Shell Savings SFD 4-Star Plus Gas</v>
          </cell>
          <cell r="B230">
            <v>230</v>
          </cell>
          <cell r="C230" t="str">
            <v>OTH</v>
          </cell>
          <cell r="D230" t="str">
            <v>TSHRATD1</v>
          </cell>
          <cell r="E230">
            <v>25</v>
          </cell>
        </row>
        <row r="231">
          <cell r="A231" t="str">
            <v>Heat Shell Saivngs SFD 4-Star Plus Propane</v>
          </cell>
          <cell r="B231">
            <v>231</v>
          </cell>
          <cell r="C231" t="str">
            <v>OTH</v>
          </cell>
          <cell r="D231" t="str">
            <v>TSHRATD1</v>
          </cell>
          <cell r="E231">
            <v>25</v>
          </cell>
        </row>
        <row r="232">
          <cell r="A232" t="str">
            <v>Heat Shell Savings SFA EnergyStar Home Oil</v>
          </cell>
          <cell r="B232">
            <v>232</v>
          </cell>
          <cell r="C232" t="str">
            <v>OTH</v>
          </cell>
          <cell r="D232" t="str">
            <v>TSHRATA2</v>
          </cell>
          <cell r="E232">
            <v>25</v>
          </cell>
        </row>
        <row r="233">
          <cell r="A233" t="str">
            <v>Heat Shell Savings SFA EnergyStar Home Gas</v>
          </cell>
          <cell r="B233">
            <v>233</v>
          </cell>
          <cell r="C233" t="str">
            <v>OTH</v>
          </cell>
          <cell r="D233" t="str">
            <v>TSHRATA2</v>
          </cell>
          <cell r="E233">
            <v>25</v>
          </cell>
        </row>
        <row r="234">
          <cell r="A234" t="str">
            <v>Heat Shell Savings SFA EnergyStar Home Propane</v>
          </cell>
          <cell r="B234">
            <v>234</v>
          </cell>
          <cell r="C234" t="str">
            <v>OTH</v>
          </cell>
          <cell r="D234" t="str">
            <v>TSHRATA2</v>
          </cell>
          <cell r="E234">
            <v>25</v>
          </cell>
        </row>
        <row r="235">
          <cell r="A235" t="str">
            <v>Heat Shell Savings SFA 4-Star Plus Oil</v>
          </cell>
          <cell r="B235">
            <v>235</v>
          </cell>
          <cell r="C235" t="str">
            <v>OTH</v>
          </cell>
          <cell r="D235" t="str">
            <v>TSHRATA1</v>
          </cell>
          <cell r="E235">
            <v>25</v>
          </cell>
        </row>
        <row r="236">
          <cell r="A236" t="str">
            <v>Heat Shell Savings SFA 4-Star Plus Gas</v>
          </cell>
          <cell r="B236">
            <v>236</v>
          </cell>
          <cell r="C236" t="str">
            <v>OTH</v>
          </cell>
          <cell r="D236" t="str">
            <v>TSHRATA1</v>
          </cell>
          <cell r="E236">
            <v>25</v>
          </cell>
        </row>
        <row r="237">
          <cell r="A237" t="str">
            <v>Heat Shell Saivngs SFA 4-Star Plus Propane</v>
          </cell>
          <cell r="B237">
            <v>237</v>
          </cell>
          <cell r="C237" t="str">
            <v>OTH</v>
          </cell>
          <cell r="D237" t="str">
            <v>TSHRATA1</v>
          </cell>
          <cell r="E237">
            <v>25</v>
          </cell>
        </row>
        <row r="238">
          <cell r="A238" t="str">
            <v>AC Shell Savings SFD EnergyStar Home</v>
          </cell>
          <cell r="B238">
            <v>238</v>
          </cell>
          <cell r="C238" t="str">
            <v>OTH</v>
          </cell>
          <cell r="D238" t="str">
            <v>ACERATD2</v>
          </cell>
          <cell r="E238">
            <v>25</v>
          </cell>
        </row>
        <row r="239">
          <cell r="A239" t="str">
            <v>AC Shell Savings SFD 4-Star Plus</v>
          </cell>
          <cell r="B239">
            <v>239</v>
          </cell>
          <cell r="C239" t="str">
            <v>OTH</v>
          </cell>
          <cell r="D239" t="str">
            <v>ACERATD1</v>
          </cell>
          <cell r="E239">
            <v>25</v>
          </cell>
        </row>
        <row r="240">
          <cell r="A240" t="str">
            <v>AC Shell Savings SFA EnergyStar Home</v>
          </cell>
          <cell r="B240">
            <v>240</v>
          </cell>
          <cell r="C240" t="str">
            <v>OTH</v>
          </cell>
          <cell r="D240" t="str">
            <v>ACERATA2</v>
          </cell>
          <cell r="E240">
            <v>25</v>
          </cell>
        </row>
        <row r="241">
          <cell r="A241" t="str">
            <v>AC Shell Savings SFA 4-Star Plus</v>
          </cell>
          <cell r="B241">
            <v>241</v>
          </cell>
          <cell r="C241" t="str">
            <v>OTH</v>
          </cell>
          <cell r="D241" t="str">
            <v>ACERATA1</v>
          </cell>
          <cell r="E241">
            <v>25</v>
          </cell>
        </row>
        <row r="242">
          <cell r="A242" t="str">
            <v xml:space="preserve">RNC Dishwasher Oil </v>
          </cell>
          <cell r="B242">
            <v>242</v>
          </cell>
          <cell r="C242" t="str">
            <v>OTH</v>
          </cell>
          <cell r="D242" t="str">
            <v>CKLESDRP</v>
          </cell>
          <cell r="E242">
            <v>13</v>
          </cell>
        </row>
        <row r="243">
          <cell r="A243" t="str">
            <v>RNC Dishwasher Gas</v>
          </cell>
          <cell r="B243">
            <v>243</v>
          </cell>
          <cell r="C243" t="str">
            <v>OTH</v>
          </cell>
          <cell r="D243" t="str">
            <v>CKLESDRP</v>
          </cell>
          <cell r="E243">
            <v>13</v>
          </cell>
        </row>
        <row r="244">
          <cell r="A244" t="str">
            <v>RNC Dishwasher Propane</v>
          </cell>
          <cell r="B244">
            <v>244</v>
          </cell>
          <cell r="C244" t="str">
            <v>OTH</v>
          </cell>
          <cell r="D244" t="str">
            <v>CKLESDRP</v>
          </cell>
          <cell r="E244">
            <v>13</v>
          </cell>
        </row>
        <row r="245">
          <cell r="A245" t="str">
            <v>RNC Exit Sign</v>
          </cell>
          <cell r="B245">
            <v>245</v>
          </cell>
          <cell r="C245" t="str">
            <v>OTH</v>
          </cell>
          <cell r="D245" t="str">
            <v>LFHESLED</v>
          </cell>
          <cell r="E245">
            <v>10</v>
          </cell>
        </row>
        <row r="246">
          <cell r="A246" t="str">
            <v>RNC Exterior Motion Sensor</v>
          </cell>
          <cell r="B246">
            <v>246</v>
          </cell>
          <cell r="C246" t="str">
            <v>OTH</v>
          </cell>
          <cell r="D246" t="str">
            <v>LECMOTNX</v>
          </cell>
          <cell r="E246">
            <v>15</v>
          </cell>
        </row>
        <row r="247">
          <cell r="A247" t="str">
            <v>RNC Exterior Florescent Fixture</v>
          </cell>
          <cell r="B247">
            <v>247</v>
          </cell>
          <cell r="C247" t="str">
            <v>OTH</v>
          </cell>
          <cell r="D247" t="str">
            <v>LFHCEFIX</v>
          </cell>
          <cell r="E247">
            <v>20</v>
          </cell>
        </row>
        <row r="248">
          <cell r="A248" t="str">
            <v>RNC Interior CFL Direct Install</v>
          </cell>
          <cell r="B248">
            <v>248</v>
          </cell>
          <cell r="C248" t="str">
            <v>OTH</v>
          </cell>
          <cell r="D248" t="str">
            <v>LBLCFBLB</v>
          </cell>
          <cell r="E248">
            <v>6.4</v>
          </cell>
        </row>
        <row r="249">
          <cell r="A249" t="str">
            <v>RNC Exterior CFL Direct Install</v>
          </cell>
          <cell r="B249">
            <v>249</v>
          </cell>
          <cell r="C249" t="str">
            <v>OTH</v>
          </cell>
          <cell r="D249" t="str">
            <v>LBLCFBLB</v>
          </cell>
          <cell r="E249">
            <v>3.9</v>
          </cell>
        </row>
        <row r="250">
          <cell r="A250" t="str">
            <v>RNC HID</v>
          </cell>
          <cell r="B250">
            <v>250</v>
          </cell>
          <cell r="C250" t="str">
            <v>OTH</v>
          </cell>
          <cell r="D250" t="str">
            <v>LFHHDZZZ</v>
          </cell>
          <cell r="E250">
            <v>20</v>
          </cell>
        </row>
        <row r="251">
          <cell r="A251" t="str">
            <v>RNC Generic Linear Fluorescent Tube Fixture</v>
          </cell>
          <cell r="B251">
            <v>251</v>
          </cell>
          <cell r="C251" t="str">
            <v>OTH</v>
          </cell>
          <cell r="D251" t="str">
            <v>LFHGENFT</v>
          </cell>
          <cell r="E251">
            <v>20</v>
          </cell>
        </row>
        <row r="252">
          <cell r="A252" t="str">
            <v>RNC Interior Surface Fluorescent Fixture</v>
          </cell>
          <cell r="B252">
            <v>252</v>
          </cell>
          <cell r="C252" t="str">
            <v>OTH</v>
          </cell>
          <cell r="D252" t="str">
            <v>LFHCNSUR</v>
          </cell>
          <cell r="E252">
            <v>20</v>
          </cell>
        </row>
        <row r="253">
          <cell r="A253" t="str">
            <v>RNC Interior Recessed Fluorescent Fixture</v>
          </cell>
          <cell r="B253">
            <v>253</v>
          </cell>
          <cell r="C253" t="str">
            <v>OTH</v>
          </cell>
          <cell r="D253" t="str">
            <v>LFHCNREC</v>
          </cell>
          <cell r="E253">
            <v>20</v>
          </cell>
        </row>
        <row r="254">
          <cell r="A254" t="str">
            <v>RNC Interior Other Fluroescent Fixture</v>
          </cell>
          <cell r="B254">
            <v>254</v>
          </cell>
          <cell r="C254" t="str">
            <v>OTH</v>
          </cell>
          <cell r="D254" t="str">
            <v>LFHCNFIX</v>
          </cell>
          <cell r="E254">
            <v>20</v>
          </cell>
        </row>
        <row r="255">
          <cell r="B255">
            <v>255</v>
          </cell>
        </row>
        <row r="256">
          <cell r="B256">
            <v>256</v>
          </cell>
        </row>
        <row r="257">
          <cell r="B257">
            <v>257</v>
          </cell>
        </row>
        <row r="258">
          <cell r="B258">
            <v>258</v>
          </cell>
        </row>
        <row r="259">
          <cell r="B259">
            <v>259</v>
          </cell>
        </row>
        <row r="260">
          <cell r="B260">
            <v>260</v>
          </cell>
        </row>
        <row r="261">
          <cell r="B261">
            <v>261</v>
          </cell>
        </row>
        <row r="262">
          <cell r="B262">
            <v>262</v>
          </cell>
        </row>
        <row r="263">
          <cell r="B263">
            <v>263</v>
          </cell>
        </row>
        <row r="264">
          <cell r="B264">
            <v>264</v>
          </cell>
        </row>
        <row r="265">
          <cell r="B265">
            <v>265</v>
          </cell>
        </row>
        <row r="266">
          <cell r="B266">
            <v>266</v>
          </cell>
        </row>
        <row r="267">
          <cell r="B267">
            <v>267</v>
          </cell>
        </row>
        <row r="268">
          <cell r="B268">
            <v>268</v>
          </cell>
        </row>
        <row r="269">
          <cell r="B269">
            <v>269</v>
          </cell>
        </row>
        <row r="270">
          <cell r="B270">
            <v>270</v>
          </cell>
        </row>
        <row r="271">
          <cell r="B271">
            <v>271</v>
          </cell>
        </row>
        <row r="272">
          <cell r="B272">
            <v>272</v>
          </cell>
        </row>
        <row r="273">
          <cell r="B273">
            <v>273</v>
          </cell>
        </row>
        <row r="274">
          <cell r="B274">
            <v>274</v>
          </cell>
        </row>
        <row r="275">
          <cell r="B275">
            <v>275</v>
          </cell>
        </row>
        <row r="276">
          <cell r="B276">
            <v>276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UtilityData"/>
      <sheetName val="Chart1"/>
      <sheetName val="AnnualIndices"/>
      <sheetName val="ShareUEC"/>
      <sheetName val="Shares"/>
      <sheetName val="Efficiencies"/>
      <sheetName val="StructuralVars"/>
      <sheetName val="EIAData"/>
      <sheetName val="MonthlyMults"/>
    </sheetNames>
    <sheetDataSet>
      <sheetData sheetId="0"/>
      <sheetData sheetId="1">
        <row r="1">
          <cell r="A1" t="str">
            <v>Year</v>
          </cell>
          <cell r="B1" t="str">
            <v>Month</v>
          </cell>
          <cell r="C1" t="str">
            <v>Sales</v>
          </cell>
        </row>
        <row r="2">
          <cell r="A2">
            <v>1980</v>
          </cell>
          <cell r="B2">
            <v>1</v>
          </cell>
          <cell r="C2">
            <v>0</v>
          </cell>
        </row>
        <row r="3">
          <cell r="A3">
            <v>1980</v>
          </cell>
          <cell r="B3">
            <v>2</v>
          </cell>
          <cell r="C3">
            <v>0</v>
          </cell>
        </row>
        <row r="4">
          <cell r="A4">
            <v>1980</v>
          </cell>
          <cell r="B4">
            <v>3</v>
          </cell>
          <cell r="C4">
            <v>0</v>
          </cell>
        </row>
        <row r="5">
          <cell r="A5">
            <v>1980</v>
          </cell>
          <cell r="B5">
            <v>4</v>
          </cell>
          <cell r="C5">
            <v>0</v>
          </cell>
        </row>
        <row r="6">
          <cell r="A6">
            <v>1980</v>
          </cell>
          <cell r="B6">
            <v>5</v>
          </cell>
          <cell r="C6">
            <v>0</v>
          </cell>
        </row>
        <row r="7">
          <cell r="A7">
            <v>1980</v>
          </cell>
          <cell r="B7">
            <v>6</v>
          </cell>
          <cell r="C7">
            <v>0</v>
          </cell>
        </row>
        <row r="8">
          <cell r="A8">
            <v>1980</v>
          </cell>
          <cell r="B8">
            <v>7</v>
          </cell>
          <cell r="C8">
            <v>0</v>
          </cell>
        </row>
        <row r="9">
          <cell r="A9">
            <v>1980</v>
          </cell>
          <cell r="B9">
            <v>8</v>
          </cell>
          <cell r="C9">
            <v>0</v>
          </cell>
        </row>
        <row r="10">
          <cell r="A10">
            <v>1980</v>
          </cell>
          <cell r="B10">
            <v>9</v>
          </cell>
          <cell r="C10">
            <v>0</v>
          </cell>
        </row>
        <row r="11">
          <cell r="A11">
            <v>1980</v>
          </cell>
          <cell r="B11">
            <v>10</v>
          </cell>
          <cell r="C11">
            <v>0</v>
          </cell>
        </row>
        <row r="12">
          <cell r="A12">
            <v>1980</v>
          </cell>
          <cell r="B12">
            <v>11</v>
          </cell>
          <cell r="C12">
            <v>0</v>
          </cell>
        </row>
        <row r="13">
          <cell r="A13">
            <v>1980</v>
          </cell>
          <cell r="B13">
            <v>12</v>
          </cell>
          <cell r="C13">
            <v>0</v>
          </cell>
        </row>
        <row r="14">
          <cell r="A14">
            <v>1981</v>
          </cell>
          <cell r="B14">
            <v>1</v>
          </cell>
          <cell r="C14">
            <v>0</v>
          </cell>
        </row>
        <row r="15">
          <cell r="A15">
            <v>1981</v>
          </cell>
          <cell r="B15">
            <v>2</v>
          </cell>
          <cell r="C15">
            <v>0</v>
          </cell>
        </row>
        <row r="16">
          <cell r="A16">
            <v>1981</v>
          </cell>
          <cell r="B16">
            <v>3</v>
          </cell>
          <cell r="C16">
            <v>0</v>
          </cell>
        </row>
        <row r="17">
          <cell r="A17">
            <v>1981</v>
          </cell>
          <cell r="B17">
            <v>4</v>
          </cell>
          <cell r="C17">
            <v>0</v>
          </cell>
        </row>
        <row r="18">
          <cell r="A18">
            <v>1981</v>
          </cell>
          <cell r="B18">
            <v>5</v>
          </cell>
          <cell r="C18">
            <v>0</v>
          </cell>
        </row>
        <row r="19">
          <cell r="A19">
            <v>1981</v>
          </cell>
          <cell r="B19">
            <v>6</v>
          </cell>
          <cell r="C19">
            <v>0</v>
          </cell>
        </row>
        <row r="20">
          <cell r="A20">
            <v>1981</v>
          </cell>
          <cell r="B20">
            <v>7</v>
          </cell>
          <cell r="C20">
            <v>0</v>
          </cell>
        </row>
        <row r="21">
          <cell r="A21">
            <v>1981</v>
          </cell>
          <cell r="B21">
            <v>8</v>
          </cell>
          <cell r="C21">
            <v>0</v>
          </cell>
        </row>
        <row r="22">
          <cell r="A22">
            <v>1981</v>
          </cell>
          <cell r="B22">
            <v>9</v>
          </cell>
          <cell r="C22">
            <v>0</v>
          </cell>
        </row>
        <row r="23">
          <cell r="A23">
            <v>1981</v>
          </cell>
          <cell r="B23">
            <v>10</v>
          </cell>
          <cell r="C23">
            <v>0</v>
          </cell>
        </row>
        <row r="24">
          <cell r="A24">
            <v>1981</v>
          </cell>
          <cell r="B24">
            <v>11</v>
          </cell>
          <cell r="C24">
            <v>0</v>
          </cell>
        </row>
        <row r="25">
          <cell r="A25">
            <v>1981</v>
          </cell>
          <cell r="B25">
            <v>12</v>
          </cell>
          <cell r="C25">
            <v>0</v>
          </cell>
        </row>
        <row r="26">
          <cell r="A26">
            <v>1982</v>
          </cell>
          <cell r="B26">
            <v>1</v>
          </cell>
          <cell r="C26">
            <v>0</v>
          </cell>
        </row>
        <row r="27">
          <cell r="A27">
            <v>1982</v>
          </cell>
          <cell r="B27">
            <v>2</v>
          </cell>
          <cell r="C27">
            <v>0</v>
          </cell>
        </row>
        <row r="28">
          <cell r="A28">
            <v>1982</v>
          </cell>
          <cell r="B28">
            <v>3</v>
          </cell>
          <cell r="C28">
            <v>0</v>
          </cell>
        </row>
        <row r="29">
          <cell r="A29">
            <v>1982</v>
          </cell>
          <cell r="B29">
            <v>4</v>
          </cell>
          <cell r="C29">
            <v>0</v>
          </cell>
        </row>
        <row r="30">
          <cell r="A30">
            <v>1982</v>
          </cell>
          <cell r="B30">
            <v>5</v>
          </cell>
          <cell r="C30">
            <v>0</v>
          </cell>
        </row>
        <row r="31">
          <cell r="A31">
            <v>1982</v>
          </cell>
          <cell r="B31">
            <v>6</v>
          </cell>
          <cell r="C31">
            <v>0</v>
          </cell>
        </row>
        <row r="32">
          <cell r="A32">
            <v>1982</v>
          </cell>
          <cell r="B32">
            <v>7</v>
          </cell>
          <cell r="C32">
            <v>0</v>
          </cell>
        </row>
        <row r="33">
          <cell r="A33">
            <v>1982</v>
          </cell>
          <cell r="B33">
            <v>8</v>
          </cell>
          <cell r="C33">
            <v>0</v>
          </cell>
        </row>
        <row r="34">
          <cell r="A34">
            <v>1982</v>
          </cell>
          <cell r="B34">
            <v>9</v>
          </cell>
          <cell r="C34">
            <v>0</v>
          </cell>
        </row>
        <row r="35">
          <cell r="A35">
            <v>1982</v>
          </cell>
          <cell r="B35">
            <v>10</v>
          </cell>
          <cell r="C35">
            <v>0</v>
          </cell>
        </row>
        <row r="36">
          <cell r="A36">
            <v>1982</v>
          </cell>
          <cell r="B36">
            <v>11</v>
          </cell>
          <cell r="C36">
            <v>0</v>
          </cell>
        </row>
        <row r="37">
          <cell r="A37">
            <v>1982</v>
          </cell>
          <cell r="B37">
            <v>12</v>
          </cell>
          <cell r="C37">
            <v>0</v>
          </cell>
        </row>
        <row r="38">
          <cell r="A38">
            <v>1983</v>
          </cell>
          <cell r="B38">
            <v>1</v>
          </cell>
          <cell r="C38">
            <v>0</v>
          </cell>
        </row>
        <row r="39">
          <cell r="A39">
            <v>1983</v>
          </cell>
          <cell r="B39">
            <v>2</v>
          </cell>
          <cell r="C39">
            <v>0</v>
          </cell>
        </row>
        <row r="40">
          <cell r="A40">
            <v>1983</v>
          </cell>
          <cell r="B40">
            <v>3</v>
          </cell>
          <cell r="C40">
            <v>0</v>
          </cell>
        </row>
        <row r="41">
          <cell r="A41">
            <v>1983</v>
          </cell>
          <cell r="B41">
            <v>4</v>
          </cell>
          <cell r="C41">
            <v>0</v>
          </cell>
        </row>
        <row r="42">
          <cell r="A42">
            <v>1983</v>
          </cell>
          <cell r="B42">
            <v>5</v>
          </cell>
          <cell r="C42">
            <v>0</v>
          </cell>
        </row>
        <row r="43">
          <cell r="A43">
            <v>1983</v>
          </cell>
          <cell r="B43">
            <v>6</v>
          </cell>
          <cell r="C43">
            <v>0</v>
          </cell>
        </row>
        <row r="44">
          <cell r="A44">
            <v>1983</v>
          </cell>
          <cell r="B44">
            <v>7</v>
          </cell>
          <cell r="C44">
            <v>0</v>
          </cell>
        </row>
        <row r="45">
          <cell r="A45">
            <v>1983</v>
          </cell>
          <cell r="B45">
            <v>8</v>
          </cell>
          <cell r="C45">
            <v>0</v>
          </cell>
        </row>
        <row r="46">
          <cell r="A46">
            <v>1983</v>
          </cell>
          <cell r="B46">
            <v>9</v>
          </cell>
          <cell r="C46">
            <v>0</v>
          </cell>
        </row>
        <row r="47">
          <cell r="A47">
            <v>1983</v>
          </cell>
          <cell r="B47">
            <v>10</v>
          </cell>
          <cell r="C47">
            <v>0</v>
          </cell>
        </row>
        <row r="48">
          <cell r="A48">
            <v>1983</v>
          </cell>
          <cell r="B48">
            <v>11</v>
          </cell>
          <cell r="C48">
            <v>0</v>
          </cell>
        </row>
        <row r="49">
          <cell r="A49">
            <v>1983</v>
          </cell>
          <cell r="B49">
            <v>12</v>
          </cell>
          <cell r="C49">
            <v>0</v>
          </cell>
        </row>
        <row r="50">
          <cell r="A50">
            <v>1984</v>
          </cell>
          <cell r="B50">
            <v>1</v>
          </cell>
          <cell r="C50">
            <v>3444</v>
          </cell>
        </row>
        <row r="51">
          <cell r="A51">
            <v>1984</v>
          </cell>
          <cell r="B51">
            <v>2</v>
          </cell>
          <cell r="C51">
            <v>3052</v>
          </cell>
        </row>
        <row r="52">
          <cell r="A52">
            <v>1984</v>
          </cell>
          <cell r="B52">
            <v>3</v>
          </cell>
          <cell r="C52">
            <v>2976</v>
          </cell>
        </row>
        <row r="53">
          <cell r="A53">
            <v>1984</v>
          </cell>
          <cell r="B53">
            <v>4</v>
          </cell>
          <cell r="C53">
            <v>2642</v>
          </cell>
        </row>
        <row r="54">
          <cell r="A54">
            <v>1984</v>
          </cell>
          <cell r="B54">
            <v>5</v>
          </cell>
          <cell r="C54">
            <v>2358</v>
          </cell>
        </row>
        <row r="55">
          <cell r="A55">
            <v>1984</v>
          </cell>
          <cell r="B55">
            <v>6</v>
          </cell>
          <cell r="C55">
            <v>2367</v>
          </cell>
        </row>
        <row r="56">
          <cell r="A56">
            <v>1984</v>
          </cell>
          <cell r="B56">
            <v>7</v>
          </cell>
          <cell r="C56">
            <v>2487</v>
          </cell>
        </row>
        <row r="57">
          <cell r="A57">
            <v>1984</v>
          </cell>
          <cell r="B57">
            <v>8</v>
          </cell>
          <cell r="C57">
            <v>2573</v>
          </cell>
        </row>
        <row r="58">
          <cell r="A58">
            <v>1984</v>
          </cell>
          <cell r="B58">
            <v>9</v>
          </cell>
          <cell r="C58">
            <v>2361</v>
          </cell>
        </row>
        <row r="59">
          <cell r="A59">
            <v>1984</v>
          </cell>
          <cell r="B59">
            <v>10</v>
          </cell>
          <cell r="C59">
            <v>2264</v>
          </cell>
        </row>
        <row r="60">
          <cell r="A60">
            <v>1984</v>
          </cell>
          <cell r="B60">
            <v>11</v>
          </cell>
          <cell r="C60">
            <v>2403</v>
          </cell>
        </row>
        <row r="61">
          <cell r="A61">
            <v>1984</v>
          </cell>
          <cell r="B61">
            <v>12</v>
          </cell>
          <cell r="C61">
            <v>2920</v>
          </cell>
        </row>
        <row r="62">
          <cell r="A62">
            <v>1985</v>
          </cell>
          <cell r="B62">
            <v>1</v>
          </cell>
          <cell r="C62">
            <v>3428</v>
          </cell>
        </row>
        <row r="63">
          <cell r="A63">
            <v>1985</v>
          </cell>
          <cell r="B63">
            <v>2</v>
          </cell>
          <cell r="C63">
            <v>3285</v>
          </cell>
        </row>
        <row r="64">
          <cell r="A64">
            <v>1985</v>
          </cell>
          <cell r="B64">
            <v>3</v>
          </cell>
          <cell r="C64">
            <v>2918</v>
          </cell>
        </row>
        <row r="65">
          <cell r="A65">
            <v>1985</v>
          </cell>
          <cell r="B65">
            <v>4</v>
          </cell>
          <cell r="C65">
            <v>2590</v>
          </cell>
        </row>
        <row r="66">
          <cell r="A66">
            <v>1985</v>
          </cell>
          <cell r="B66">
            <v>5</v>
          </cell>
          <cell r="C66">
            <v>2367</v>
          </cell>
        </row>
        <row r="67">
          <cell r="A67">
            <v>1985</v>
          </cell>
          <cell r="B67">
            <v>6</v>
          </cell>
          <cell r="C67">
            <v>2254</v>
          </cell>
        </row>
        <row r="68">
          <cell r="A68">
            <v>1985</v>
          </cell>
          <cell r="B68">
            <v>7</v>
          </cell>
          <cell r="C68">
            <v>2440</v>
          </cell>
        </row>
        <row r="69">
          <cell r="A69">
            <v>1985</v>
          </cell>
          <cell r="B69">
            <v>8</v>
          </cell>
          <cell r="C69">
            <v>2468</v>
          </cell>
        </row>
        <row r="70">
          <cell r="A70">
            <v>1985</v>
          </cell>
          <cell r="B70">
            <v>9</v>
          </cell>
          <cell r="C70">
            <v>2408</v>
          </cell>
        </row>
        <row r="71">
          <cell r="A71">
            <v>1985</v>
          </cell>
          <cell r="B71">
            <v>10</v>
          </cell>
          <cell r="C71">
            <v>2174</v>
          </cell>
        </row>
        <row r="72">
          <cell r="A72">
            <v>1985</v>
          </cell>
          <cell r="B72">
            <v>11</v>
          </cell>
          <cell r="C72">
            <v>2435</v>
          </cell>
        </row>
        <row r="73">
          <cell r="A73">
            <v>1985</v>
          </cell>
          <cell r="B73">
            <v>12</v>
          </cell>
          <cell r="C73">
            <v>2984</v>
          </cell>
        </row>
        <row r="74">
          <cell r="A74">
            <v>1986</v>
          </cell>
          <cell r="B74">
            <v>1</v>
          </cell>
          <cell r="C74">
            <v>3533</v>
          </cell>
        </row>
        <row r="75">
          <cell r="A75">
            <v>1986</v>
          </cell>
          <cell r="B75">
            <v>2</v>
          </cell>
          <cell r="C75">
            <v>3266</v>
          </cell>
        </row>
        <row r="76">
          <cell r="A76">
            <v>1986</v>
          </cell>
          <cell r="B76">
            <v>3</v>
          </cell>
          <cell r="C76">
            <v>3048</v>
          </cell>
        </row>
        <row r="77">
          <cell r="A77">
            <v>1986</v>
          </cell>
          <cell r="B77">
            <v>4</v>
          </cell>
          <cell r="C77">
            <v>2579</v>
          </cell>
        </row>
        <row r="78">
          <cell r="A78">
            <v>1986</v>
          </cell>
          <cell r="B78">
            <v>5</v>
          </cell>
          <cell r="C78">
            <v>2368</v>
          </cell>
        </row>
        <row r="79">
          <cell r="A79">
            <v>1986</v>
          </cell>
          <cell r="B79">
            <v>6</v>
          </cell>
          <cell r="C79">
            <v>2285</v>
          </cell>
        </row>
        <row r="80">
          <cell r="A80">
            <v>1986</v>
          </cell>
          <cell r="B80">
            <v>7</v>
          </cell>
          <cell r="C80">
            <v>2483</v>
          </cell>
        </row>
        <row r="81">
          <cell r="A81">
            <v>1986</v>
          </cell>
          <cell r="B81">
            <v>8</v>
          </cell>
          <cell r="C81">
            <v>2563</v>
          </cell>
        </row>
        <row r="82">
          <cell r="A82">
            <v>1986</v>
          </cell>
          <cell r="B82">
            <v>9</v>
          </cell>
          <cell r="C82">
            <v>2386</v>
          </cell>
        </row>
        <row r="83">
          <cell r="A83">
            <v>1986</v>
          </cell>
          <cell r="B83">
            <v>10</v>
          </cell>
          <cell r="C83">
            <v>2336</v>
          </cell>
        </row>
        <row r="84">
          <cell r="A84">
            <v>1986</v>
          </cell>
          <cell r="B84">
            <v>11</v>
          </cell>
          <cell r="C84">
            <v>2647</v>
          </cell>
        </row>
        <row r="85">
          <cell r="A85">
            <v>1986</v>
          </cell>
          <cell r="B85">
            <v>12</v>
          </cell>
          <cell r="C85">
            <v>3274</v>
          </cell>
        </row>
        <row r="86">
          <cell r="A86">
            <v>1987</v>
          </cell>
          <cell r="B86">
            <v>1</v>
          </cell>
          <cell r="C86">
            <v>3674</v>
          </cell>
        </row>
        <row r="87">
          <cell r="A87">
            <v>1987</v>
          </cell>
          <cell r="B87">
            <v>2</v>
          </cell>
          <cell r="C87">
            <v>3466</v>
          </cell>
        </row>
        <row r="88">
          <cell r="A88">
            <v>1987</v>
          </cell>
          <cell r="B88">
            <v>3</v>
          </cell>
          <cell r="C88">
            <v>3252</v>
          </cell>
        </row>
        <row r="89">
          <cell r="A89">
            <v>1987</v>
          </cell>
          <cell r="B89">
            <v>4</v>
          </cell>
          <cell r="C89">
            <v>2780</v>
          </cell>
        </row>
        <row r="90">
          <cell r="A90">
            <v>1987</v>
          </cell>
          <cell r="B90">
            <v>5</v>
          </cell>
          <cell r="C90">
            <v>2563</v>
          </cell>
        </row>
        <row r="91">
          <cell r="A91">
            <v>1987</v>
          </cell>
          <cell r="B91">
            <v>6</v>
          </cell>
          <cell r="C91">
            <v>2485</v>
          </cell>
        </row>
        <row r="92">
          <cell r="A92">
            <v>1987</v>
          </cell>
          <cell r="B92">
            <v>7</v>
          </cell>
          <cell r="C92">
            <v>2734</v>
          </cell>
        </row>
        <row r="93">
          <cell r="A93">
            <v>1987</v>
          </cell>
          <cell r="B93">
            <v>8</v>
          </cell>
          <cell r="C93">
            <v>2778</v>
          </cell>
        </row>
        <row r="94">
          <cell r="A94">
            <v>1987</v>
          </cell>
          <cell r="B94">
            <v>9</v>
          </cell>
          <cell r="C94">
            <v>2554</v>
          </cell>
        </row>
        <row r="95">
          <cell r="A95">
            <v>1987</v>
          </cell>
          <cell r="B95">
            <v>10</v>
          </cell>
          <cell r="C95">
            <v>2517</v>
          </cell>
        </row>
        <row r="96">
          <cell r="A96">
            <v>1987</v>
          </cell>
          <cell r="B96">
            <v>11</v>
          </cell>
          <cell r="C96">
            <v>2781</v>
          </cell>
        </row>
        <row r="97">
          <cell r="A97">
            <v>1987</v>
          </cell>
          <cell r="B97">
            <v>12</v>
          </cell>
          <cell r="C97">
            <v>3397</v>
          </cell>
        </row>
        <row r="98">
          <cell r="A98">
            <v>1988</v>
          </cell>
          <cell r="B98">
            <v>1</v>
          </cell>
          <cell r="C98">
            <v>4053</v>
          </cell>
        </row>
        <row r="99">
          <cell r="A99">
            <v>1988</v>
          </cell>
          <cell r="B99">
            <v>2</v>
          </cell>
          <cell r="C99">
            <v>3631</v>
          </cell>
        </row>
        <row r="100">
          <cell r="A100">
            <v>1988</v>
          </cell>
          <cell r="B100">
            <v>3</v>
          </cell>
          <cell r="C100">
            <v>3374</v>
          </cell>
        </row>
        <row r="101">
          <cell r="A101">
            <v>1988</v>
          </cell>
          <cell r="B101">
            <v>4</v>
          </cell>
          <cell r="C101">
            <v>2962</v>
          </cell>
        </row>
        <row r="102">
          <cell r="A102">
            <v>1988</v>
          </cell>
          <cell r="B102">
            <v>5</v>
          </cell>
          <cell r="C102">
            <v>2636</v>
          </cell>
        </row>
        <row r="103">
          <cell r="A103">
            <v>1988</v>
          </cell>
          <cell r="B103">
            <v>6</v>
          </cell>
          <cell r="C103">
            <v>2611</v>
          </cell>
        </row>
        <row r="104">
          <cell r="A104">
            <v>1988</v>
          </cell>
          <cell r="B104">
            <v>7</v>
          </cell>
          <cell r="C104">
            <v>2904</v>
          </cell>
        </row>
        <row r="105">
          <cell r="A105">
            <v>1988</v>
          </cell>
          <cell r="B105">
            <v>8</v>
          </cell>
          <cell r="C105">
            <v>3311</v>
          </cell>
        </row>
        <row r="106">
          <cell r="A106">
            <v>1988</v>
          </cell>
          <cell r="B106">
            <v>9</v>
          </cell>
          <cell r="C106">
            <v>2754</v>
          </cell>
        </row>
        <row r="107">
          <cell r="A107">
            <v>1988</v>
          </cell>
          <cell r="B107">
            <v>10</v>
          </cell>
          <cell r="C107">
            <v>2600</v>
          </cell>
        </row>
        <row r="108">
          <cell r="A108">
            <v>1988</v>
          </cell>
          <cell r="B108">
            <v>11</v>
          </cell>
          <cell r="C108">
            <v>2930</v>
          </cell>
        </row>
        <row r="109">
          <cell r="A109">
            <v>1988</v>
          </cell>
          <cell r="B109">
            <v>12</v>
          </cell>
          <cell r="C109">
            <v>3578</v>
          </cell>
        </row>
        <row r="110">
          <cell r="A110">
            <v>1989</v>
          </cell>
          <cell r="B110">
            <v>1</v>
          </cell>
          <cell r="C110">
            <v>4109</v>
          </cell>
        </row>
        <row r="111">
          <cell r="A111">
            <v>1989</v>
          </cell>
          <cell r="B111">
            <v>2</v>
          </cell>
          <cell r="C111">
            <v>3572</v>
          </cell>
        </row>
        <row r="112">
          <cell r="A112">
            <v>1989</v>
          </cell>
          <cell r="B112">
            <v>3</v>
          </cell>
          <cell r="C112">
            <v>3624</v>
          </cell>
        </row>
        <row r="113">
          <cell r="A113">
            <v>1989</v>
          </cell>
          <cell r="B113">
            <v>4</v>
          </cell>
          <cell r="C113">
            <v>3072</v>
          </cell>
        </row>
        <row r="114">
          <cell r="A114">
            <v>1989</v>
          </cell>
          <cell r="B114">
            <v>5</v>
          </cell>
          <cell r="C114">
            <v>2688</v>
          </cell>
        </row>
        <row r="115">
          <cell r="A115">
            <v>1989</v>
          </cell>
          <cell r="B115">
            <v>6</v>
          </cell>
          <cell r="C115">
            <v>2675</v>
          </cell>
        </row>
        <row r="116">
          <cell r="A116">
            <v>1989</v>
          </cell>
          <cell r="B116">
            <v>7</v>
          </cell>
          <cell r="C116">
            <v>2920</v>
          </cell>
        </row>
        <row r="117">
          <cell r="A117">
            <v>1989</v>
          </cell>
          <cell r="B117">
            <v>8</v>
          </cell>
          <cell r="C117">
            <v>2982</v>
          </cell>
        </row>
        <row r="118">
          <cell r="A118">
            <v>1989</v>
          </cell>
          <cell r="B118">
            <v>9</v>
          </cell>
          <cell r="C118">
            <v>2785</v>
          </cell>
        </row>
        <row r="119">
          <cell r="A119">
            <v>1989</v>
          </cell>
          <cell r="B119">
            <v>10</v>
          </cell>
          <cell r="C119">
            <v>2647</v>
          </cell>
        </row>
        <row r="120">
          <cell r="A120">
            <v>1989</v>
          </cell>
          <cell r="B120">
            <v>11</v>
          </cell>
          <cell r="C120">
            <v>2870</v>
          </cell>
        </row>
        <row r="121">
          <cell r="A121">
            <v>1989</v>
          </cell>
          <cell r="B121">
            <v>12</v>
          </cell>
          <cell r="C121">
            <v>3977</v>
          </cell>
        </row>
        <row r="122">
          <cell r="A122">
            <v>1990</v>
          </cell>
          <cell r="B122">
            <v>1</v>
          </cell>
          <cell r="C122">
            <v>4264.5309999999999</v>
          </cell>
        </row>
        <row r="123">
          <cell r="A123">
            <v>1990</v>
          </cell>
          <cell r="B123">
            <v>2</v>
          </cell>
          <cell r="C123">
            <v>3509.46</v>
          </cell>
        </row>
        <row r="124">
          <cell r="A124">
            <v>1990</v>
          </cell>
          <cell r="B124">
            <v>3</v>
          </cell>
          <cell r="C124">
            <v>3468.5129999999999</v>
          </cell>
        </row>
        <row r="125">
          <cell r="A125">
            <v>1990</v>
          </cell>
          <cell r="B125">
            <v>4</v>
          </cell>
          <cell r="C125">
            <v>3046.2840000000001</v>
          </cell>
        </row>
        <row r="126">
          <cell r="A126">
            <v>1990</v>
          </cell>
          <cell r="B126">
            <v>5</v>
          </cell>
          <cell r="C126">
            <v>2729.9630000000002</v>
          </cell>
        </row>
        <row r="127">
          <cell r="A127">
            <v>1990</v>
          </cell>
          <cell r="B127">
            <v>6</v>
          </cell>
          <cell r="C127">
            <v>2648.9929999999999</v>
          </cell>
        </row>
        <row r="128">
          <cell r="A128">
            <v>1990</v>
          </cell>
          <cell r="B128">
            <v>7</v>
          </cell>
          <cell r="C128">
            <v>2934.31</v>
          </cell>
        </row>
        <row r="129">
          <cell r="A129">
            <v>1990</v>
          </cell>
          <cell r="B129">
            <v>8</v>
          </cell>
          <cell r="C129">
            <v>3129.7849999999999</v>
          </cell>
        </row>
        <row r="130">
          <cell r="A130">
            <v>1990</v>
          </cell>
          <cell r="B130">
            <v>9</v>
          </cell>
          <cell r="C130">
            <v>2884.3829999999998</v>
          </cell>
        </row>
        <row r="131">
          <cell r="A131">
            <v>1990</v>
          </cell>
          <cell r="B131">
            <v>10</v>
          </cell>
          <cell r="C131">
            <v>2586.2260000000001</v>
          </cell>
        </row>
        <row r="132">
          <cell r="A132">
            <v>1990</v>
          </cell>
          <cell r="B132">
            <v>11</v>
          </cell>
          <cell r="C132">
            <v>2906.2150000000001</v>
          </cell>
        </row>
        <row r="133">
          <cell r="A133">
            <v>1990</v>
          </cell>
          <cell r="B133">
            <v>12</v>
          </cell>
          <cell r="C133">
            <v>3409.79</v>
          </cell>
        </row>
        <row r="134">
          <cell r="A134">
            <v>1991</v>
          </cell>
          <cell r="B134">
            <v>1</v>
          </cell>
          <cell r="C134">
            <v>3966.4430000000002</v>
          </cell>
        </row>
        <row r="135">
          <cell r="A135">
            <v>1991</v>
          </cell>
          <cell r="B135">
            <v>2</v>
          </cell>
          <cell r="C135">
            <v>3529.0859999999998</v>
          </cell>
        </row>
        <row r="136">
          <cell r="A136">
            <v>1991</v>
          </cell>
          <cell r="B136">
            <v>3</v>
          </cell>
          <cell r="C136">
            <v>3337.1350000000002</v>
          </cell>
        </row>
        <row r="137">
          <cell r="A137">
            <v>1991</v>
          </cell>
          <cell r="B137">
            <v>4</v>
          </cell>
          <cell r="C137">
            <v>2969.739</v>
          </cell>
        </row>
        <row r="138">
          <cell r="A138">
            <v>1991</v>
          </cell>
          <cell r="B138">
            <v>5</v>
          </cell>
          <cell r="C138">
            <v>2646.855</v>
          </cell>
        </row>
        <row r="139">
          <cell r="A139">
            <v>1991</v>
          </cell>
          <cell r="B139">
            <v>6</v>
          </cell>
          <cell r="C139">
            <v>2718</v>
          </cell>
        </row>
        <row r="140">
          <cell r="A140">
            <v>1991</v>
          </cell>
          <cell r="B140">
            <v>7</v>
          </cell>
          <cell r="C140">
            <v>3012.3319999999999</v>
          </cell>
        </row>
        <row r="141">
          <cell r="A141">
            <v>1991</v>
          </cell>
          <cell r="B141">
            <v>8</v>
          </cell>
          <cell r="C141">
            <v>3034.92</v>
          </cell>
        </row>
        <row r="142">
          <cell r="A142">
            <v>1991</v>
          </cell>
          <cell r="B142">
            <v>9</v>
          </cell>
          <cell r="C142">
            <v>2854.4949999999999</v>
          </cell>
        </row>
        <row r="143">
          <cell r="A143">
            <v>1991</v>
          </cell>
          <cell r="B143">
            <v>10</v>
          </cell>
          <cell r="C143">
            <v>2639.0630000000001</v>
          </cell>
        </row>
        <row r="144">
          <cell r="A144">
            <v>1991</v>
          </cell>
          <cell r="B144">
            <v>11</v>
          </cell>
          <cell r="C144">
            <v>2896.8580000000002</v>
          </cell>
        </row>
        <row r="145">
          <cell r="A145">
            <v>1991</v>
          </cell>
          <cell r="B145">
            <v>12</v>
          </cell>
          <cell r="C145">
            <v>3541.1289999999999</v>
          </cell>
        </row>
        <row r="146">
          <cell r="A146">
            <v>1992</v>
          </cell>
          <cell r="B146">
            <v>1</v>
          </cell>
          <cell r="C146">
            <v>4022.527</v>
          </cell>
        </row>
        <row r="147">
          <cell r="A147">
            <v>1992</v>
          </cell>
          <cell r="B147">
            <v>2</v>
          </cell>
          <cell r="C147">
            <v>3767.3649999999998</v>
          </cell>
        </row>
        <row r="148">
          <cell r="A148">
            <v>1992</v>
          </cell>
          <cell r="B148">
            <v>3</v>
          </cell>
          <cell r="C148">
            <v>3479.1410000000001</v>
          </cell>
        </row>
        <row r="149">
          <cell r="A149">
            <v>1992</v>
          </cell>
          <cell r="B149">
            <v>4</v>
          </cell>
          <cell r="C149">
            <v>3121.7359999999999</v>
          </cell>
        </row>
        <row r="150">
          <cell r="A150">
            <v>1992</v>
          </cell>
          <cell r="B150">
            <v>5</v>
          </cell>
          <cell r="C150">
            <v>2791.14</v>
          </cell>
        </row>
        <row r="151">
          <cell r="A151">
            <v>1992</v>
          </cell>
          <cell r="B151">
            <v>6</v>
          </cell>
          <cell r="C151">
            <v>2598.9679999999998</v>
          </cell>
        </row>
        <row r="152">
          <cell r="A152">
            <v>1992</v>
          </cell>
          <cell r="B152">
            <v>7</v>
          </cell>
          <cell r="C152">
            <v>2798.9749999999999</v>
          </cell>
        </row>
        <row r="153">
          <cell r="A153">
            <v>1992</v>
          </cell>
          <cell r="B153">
            <v>8</v>
          </cell>
          <cell r="C153">
            <v>2808.7139999999999</v>
          </cell>
        </row>
        <row r="154">
          <cell r="A154">
            <v>1992</v>
          </cell>
          <cell r="B154">
            <v>9</v>
          </cell>
          <cell r="C154">
            <v>2802.1849999999999</v>
          </cell>
        </row>
        <row r="155">
          <cell r="A155">
            <v>1992</v>
          </cell>
          <cell r="B155">
            <v>10</v>
          </cell>
          <cell r="C155">
            <v>2726.576</v>
          </cell>
        </row>
        <row r="156">
          <cell r="A156">
            <v>1992</v>
          </cell>
          <cell r="B156">
            <v>11</v>
          </cell>
          <cell r="C156">
            <v>3044.1480000000001</v>
          </cell>
        </row>
        <row r="157">
          <cell r="A157">
            <v>1992</v>
          </cell>
          <cell r="B157">
            <v>12</v>
          </cell>
          <cell r="C157">
            <v>3642.9070000000002</v>
          </cell>
        </row>
        <row r="158">
          <cell r="A158">
            <v>1993</v>
          </cell>
          <cell r="B158">
            <v>1</v>
          </cell>
          <cell r="C158">
            <v>3970.1880000000001</v>
          </cell>
        </row>
        <row r="159">
          <cell r="A159">
            <v>1993</v>
          </cell>
          <cell r="B159">
            <v>2</v>
          </cell>
          <cell r="C159">
            <v>3698.0970000000002</v>
          </cell>
        </row>
        <row r="160">
          <cell r="A160">
            <v>1993</v>
          </cell>
          <cell r="B160">
            <v>3</v>
          </cell>
          <cell r="C160">
            <v>3702.6840000000002</v>
          </cell>
        </row>
        <row r="161">
          <cell r="A161">
            <v>1993</v>
          </cell>
          <cell r="B161">
            <v>4</v>
          </cell>
          <cell r="C161">
            <v>3131.12</v>
          </cell>
        </row>
        <row r="162">
          <cell r="A162">
            <v>1993</v>
          </cell>
          <cell r="B162">
            <v>5</v>
          </cell>
          <cell r="C162">
            <v>2605.64</v>
          </cell>
        </row>
        <row r="163">
          <cell r="A163">
            <v>1993</v>
          </cell>
          <cell r="B163">
            <v>6</v>
          </cell>
          <cell r="C163">
            <v>2610.0949999999998</v>
          </cell>
        </row>
        <row r="164">
          <cell r="A164">
            <v>1993</v>
          </cell>
          <cell r="B164">
            <v>7</v>
          </cell>
          <cell r="C164">
            <v>3111.4079999999999</v>
          </cell>
        </row>
        <row r="165">
          <cell r="A165">
            <v>1993</v>
          </cell>
          <cell r="B165">
            <v>8</v>
          </cell>
          <cell r="C165">
            <v>3060.701</v>
          </cell>
        </row>
        <row r="166">
          <cell r="A166">
            <v>1993</v>
          </cell>
          <cell r="B166">
            <v>9</v>
          </cell>
          <cell r="C166">
            <v>2979.66</v>
          </cell>
        </row>
        <row r="167">
          <cell r="A167">
            <v>1993</v>
          </cell>
          <cell r="B167">
            <v>10</v>
          </cell>
          <cell r="C167">
            <v>2732.116</v>
          </cell>
        </row>
        <row r="168">
          <cell r="A168">
            <v>1993</v>
          </cell>
          <cell r="B168">
            <v>11</v>
          </cell>
          <cell r="C168">
            <v>2975.1120000000001</v>
          </cell>
        </row>
        <row r="169">
          <cell r="A169">
            <v>1993</v>
          </cell>
          <cell r="B169">
            <v>12</v>
          </cell>
          <cell r="C169">
            <v>3480.596</v>
          </cell>
        </row>
        <row r="170">
          <cell r="A170">
            <v>1994</v>
          </cell>
          <cell r="B170">
            <v>1</v>
          </cell>
          <cell r="C170">
            <v>4253.7209999999995</v>
          </cell>
        </row>
        <row r="171">
          <cell r="A171">
            <v>1994</v>
          </cell>
          <cell r="B171">
            <v>2</v>
          </cell>
          <cell r="C171">
            <v>3904.7460000000001</v>
          </cell>
        </row>
        <row r="172">
          <cell r="A172">
            <v>1994</v>
          </cell>
          <cell r="B172">
            <v>3</v>
          </cell>
          <cell r="C172">
            <v>3677.018</v>
          </cell>
        </row>
        <row r="173">
          <cell r="A173">
            <v>1994</v>
          </cell>
          <cell r="B173">
            <v>4</v>
          </cell>
          <cell r="C173">
            <v>3034.8719999999998</v>
          </cell>
        </row>
        <row r="174">
          <cell r="A174">
            <v>1994</v>
          </cell>
          <cell r="B174">
            <v>5</v>
          </cell>
          <cell r="C174">
            <v>2612.4140000000002</v>
          </cell>
        </row>
        <row r="175">
          <cell r="A175">
            <v>1994</v>
          </cell>
          <cell r="B175">
            <v>6</v>
          </cell>
          <cell r="C175">
            <v>2721.1610000000001</v>
          </cell>
        </row>
        <row r="176">
          <cell r="A176">
            <v>1994</v>
          </cell>
          <cell r="B176">
            <v>7</v>
          </cell>
          <cell r="C176">
            <v>3366.4430000000002</v>
          </cell>
        </row>
        <row r="177">
          <cell r="A177">
            <v>1994</v>
          </cell>
          <cell r="B177">
            <v>8</v>
          </cell>
          <cell r="C177">
            <v>3318.1880000000001</v>
          </cell>
        </row>
        <row r="178">
          <cell r="A178">
            <v>1994</v>
          </cell>
          <cell r="B178">
            <v>9</v>
          </cell>
          <cell r="C178">
            <v>2811.953</v>
          </cell>
        </row>
        <row r="179">
          <cell r="A179">
            <v>1994</v>
          </cell>
          <cell r="B179">
            <v>10</v>
          </cell>
          <cell r="C179">
            <v>2672.6680000000001</v>
          </cell>
        </row>
        <row r="180">
          <cell r="A180">
            <v>1994</v>
          </cell>
          <cell r="B180">
            <v>11</v>
          </cell>
          <cell r="C180">
            <v>2761.76</v>
          </cell>
        </row>
        <row r="181">
          <cell r="A181">
            <v>1994</v>
          </cell>
          <cell r="B181">
            <v>12</v>
          </cell>
          <cell r="C181">
            <v>3400.991</v>
          </cell>
        </row>
        <row r="182">
          <cell r="A182">
            <v>1995</v>
          </cell>
          <cell r="B182">
            <v>1</v>
          </cell>
          <cell r="C182">
            <v>3809.3009999999999</v>
          </cell>
        </row>
        <row r="183">
          <cell r="A183">
            <v>1995</v>
          </cell>
          <cell r="B183">
            <v>2</v>
          </cell>
          <cell r="C183">
            <v>3566.5419999999999</v>
          </cell>
        </row>
        <row r="184">
          <cell r="A184">
            <v>1995</v>
          </cell>
          <cell r="B184">
            <v>3</v>
          </cell>
          <cell r="C184">
            <v>3351.3530000000001</v>
          </cell>
        </row>
        <row r="185">
          <cell r="A185">
            <v>1995</v>
          </cell>
          <cell r="B185">
            <v>4</v>
          </cell>
          <cell r="C185">
            <v>2894.5810000000001</v>
          </cell>
        </row>
        <row r="186">
          <cell r="A186">
            <v>1995</v>
          </cell>
          <cell r="B186">
            <v>5</v>
          </cell>
          <cell r="C186">
            <v>2641.4949999999999</v>
          </cell>
        </row>
        <row r="187">
          <cell r="A187">
            <v>1995</v>
          </cell>
          <cell r="B187">
            <v>6</v>
          </cell>
          <cell r="C187">
            <v>2830.6660000000002</v>
          </cell>
        </row>
        <row r="188">
          <cell r="A188">
            <v>1995</v>
          </cell>
          <cell r="B188">
            <v>7</v>
          </cell>
          <cell r="C188">
            <v>3322.1219999999998</v>
          </cell>
        </row>
        <row r="189">
          <cell r="A189">
            <v>1995</v>
          </cell>
          <cell r="B189">
            <v>8</v>
          </cell>
          <cell r="C189">
            <v>3502.6570000000002</v>
          </cell>
        </row>
        <row r="190">
          <cell r="A190">
            <v>1995</v>
          </cell>
          <cell r="B190">
            <v>9</v>
          </cell>
          <cell r="C190">
            <v>2748.0630000000001</v>
          </cell>
        </row>
        <row r="191">
          <cell r="A191">
            <v>1995</v>
          </cell>
          <cell r="B191">
            <v>10</v>
          </cell>
          <cell r="C191">
            <v>2575.3110000000001</v>
          </cell>
        </row>
        <row r="192">
          <cell r="A192">
            <v>1995</v>
          </cell>
          <cell r="B192">
            <v>11</v>
          </cell>
          <cell r="C192">
            <v>3070.127</v>
          </cell>
        </row>
        <row r="193">
          <cell r="A193">
            <v>1995</v>
          </cell>
          <cell r="B193">
            <v>12</v>
          </cell>
          <cell r="C193">
            <v>3878.67</v>
          </cell>
        </row>
        <row r="194">
          <cell r="A194">
            <v>1996</v>
          </cell>
          <cell r="B194">
            <v>1</v>
          </cell>
          <cell r="C194">
            <v>4217.3990000000003</v>
          </cell>
        </row>
        <row r="195">
          <cell r="A195">
            <v>1996</v>
          </cell>
          <cell r="B195">
            <v>2</v>
          </cell>
          <cell r="C195">
            <v>3706.9290000000001</v>
          </cell>
        </row>
        <row r="196">
          <cell r="A196">
            <v>1996</v>
          </cell>
          <cell r="B196">
            <v>3</v>
          </cell>
          <cell r="C196">
            <v>3433.0740000000001</v>
          </cell>
        </row>
        <row r="197">
          <cell r="A197">
            <v>1996</v>
          </cell>
          <cell r="B197">
            <v>4</v>
          </cell>
          <cell r="C197">
            <v>2988.6289999999999</v>
          </cell>
        </row>
        <row r="198">
          <cell r="A198">
            <v>1996</v>
          </cell>
          <cell r="B198">
            <v>5</v>
          </cell>
          <cell r="C198">
            <v>2730.931</v>
          </cell>
        </row>
        <row r="199">
          <cell r="A199">
            <v>1996</v>
          </cell>
          <cell r="B199">
            <v>6</v>
          </cell>
          <cell r="C199">
            <v>2839.511</v>
          </cell>
        </row>
        <row r="200">
          <cell r="A200">
            <v>1996</v>
          </cell>
          <cell r="B200">
            <v>7</v>
          </cell>
          <cell r="C200">
            <v>3166.529</v>
          </cell>
        </row>
        <row r="201">
          <cell r="A201">
            <v>1996</v>
          </cell>
          <cell r="B201">
            <v>8</v>
          </cell>
          <cell r="C201">
            <v>3167.6849999999999</v>
          </cell>
        </row>
        <row r="202">
          <cell r="A202">
            <v>1996</v>
          </cell>
          <cell r="B202">
            <v>9</v>
          </cell>
          <cell r="C202">
            <v>2929.366</v>
          </cell>
        </row>
        <row r="203">
          <cell r="A203">
            <v>1996</v>
          </cell>
          <cell r="B203">
            <v>10</v>
          </cell>
          <cell r="C203">
            <v>2822.598</v>
          </cell>
        </row>
        <row r="204">
          <cell r="A204">
            <v>1996</v>
          </cell>
          <cell r="B204">
            <v>11</v>
          </cell>
          <cell r="C204">
            <v>3110.7849999999999</v>
          </cell>
        </row>
        <row r="205">
          <cell r="A205">
            <v>1996</v>
          </cell>
          <cell r="B205">
            <v>12</v>
          </cell>
          <cell r="C205">
            <v>3680.386</v>
          </cell>
        </row>
        <row r="206">
          <cell r="A206">
            <v>1997</v>
          </cell>
          <cell r="B206">
            <v>1</v>
          </cell>
          <cell r="C206">
            <v>4064.2689999999998</v>
          </cell>
        </row>
        <row r="207">
          <cell r="A207">
            <v>1997</v>
          </cell>
          <cell r="B207">
            <v>2</v>
          </cell>
          <cell r="C207">
            <v>3444.94</v>
          </cell>
        </row>
        <row r="208">
          <cell r="A208">
            <v>1997</v>
          </cell>
          <cell r="B208">
            <v>3</v>
          </cell>
          <cell r="C208">
            <v>3329.0129999999999</v>
          </cell>
        </row>
        <row r="209">
          <cell r="A209">
            <v>1997</v>
          </cell>
          <cell r="B209">
            <v>4</v>
          </cell>
          <cell r="C209">
            <v>2991.7629999999999</v>
          </cell>
        </row>
        <row r="210">
          <cell r="A210">
            <v>1997</v>
          </cell>
          <cell r="B210">
            <v>5</v>
          </cell>
          <cell r="C210">
            <v>2720.6190000000001</v>
          </cell>
        </row>
        <row r="211">
          <cell r="A211">
            <v>1997</v>
          </cell>
          <cell r="B211">
            <v>6</v>
          </cell>
          <cell r="C211">
            <v>2928.8919999999998</v>
          </cell>
        </row>
        <row r="212">
          <cell r="A212">
            <v>1997</v>
          </cell>
          <cell r="B212">
            <v>7</v>
          </cell>
          <cell r="C212">
            <v>3328.8510000000001</v>
          </cell>
        </row>
        <row r="213">
          <cell r="A213">
            <v>1997</v>
          </cell>
          <cell r="B213">
            <v>8</v>
          </cell>
          <cell r="C213">
            <v>3200.9810000000002</v>
          </cell>
        </row>
        <row r="214">
          <cell r="A214">
            <v>1997</v>
          </cell>
          <cell r="B214">
            <v>9</v>
          </cell>
          <cell r="C214">
            <v>2863.877</v>
          </cell>
        </row>
        <row r="215">
          <cell r="A215">
            <v>1997</v>
          </cell>
          <cell r="B215">
            <v>10</v>
          </cell>
          <cell r="C215">
            <v>2791.3009999999999</v>
          </cell>
        </row>
        <row r="216">
          <cell r="A216">
            <v>1997</v>
          </cell>
          <cell r="B216">
            <v>11</v>
          </cell>
          <cell r="C216">
            <v>3115.152</v>
          </cell>
        </row>
        <row r="217">
          <cell r="A217">
            <v>1997</v>
          </cell>
          <cell r="B217">
            <v>12</v>
          </cell>
          <cell r="C217">
            <v>3883.7620000000002</v>
          </cell>
        </row>
        <row r="218">
          <cell r="A218">
            <v>1998</v>
          </cell>
          <cell r="B218">
            <v>1</v>
          </cell>
          <cell r="C218">
            <v>3831.431</v>
          </cell>
        </row>
        <row r="219">
          <cell r="A219">
            <v>1998</v>
          </cell>
          <cell r="B219">
            <v>2</v>
          </cell>
          <cell r="C219">
            <v>3359.116</v>
          </cell>
        </row>
        <row r="220">
          <cell r="A220">
            <v>1998</v>
          </cell>
          <cell r="B220">
            <v>3</v>
          </cell>
          <cell r="C220">
            <v>3333.8</v>
          </cell>
        </row>
        <row r="221">
          <cell r="A221">
            <v>1998</v>
          </cell>
          <cell r="B221">
            <v>4</v>
          </cell>
          <cell r="C221">
            <v>2899.8130000000001</v>
          </cell>
        </row>
        <row r="222">
          <cell r="A222">
            <v>1998</v>
          </cell>
          <cell r="B222">
            <v>5</v>
          </cell>
          <cell r="C222">
            <v>2778.873</v>
          </cell>
        </row>
        <row r="223">
          <cell r="A223">
            <v>1998</v>
          </cell>
          <cell r="B223">
            <v>6</v>
          </cell>
          <cell r="C223">
            <v>2840.0529999999999</v>
          </cell>
        </row>
        <row r="224">
          <cell r="A224">
            <v>1998</v>
          </cell>
          <cell r="B224">
            <v>7</v>
          </cell>
          <cell r="C224">
            <v>3439.4059999999999</v>
          </cell>
        </row>
        <row r="225">
          <cell r="A225">
            <v>1998</v>
          </cell>
          <cell r="B225">
            <v>8</v>
          </cell>
          <cell r="C225">
            <v>3492.3180000000002</v>
          </cell>
        </row>
        <row r="226">
          <cell r="A226">
            <v>1998</v>
          </cell>
          <cell r="B226">
            <v>9</v>
          </cell>
          <cell r="C226">
            <v>3113.7530000000002</v>
          </cell>
        </row>
        <row r="227">
          <cell r="A227">
            <v>1998</v>
          </cell>
          <cell r="B227">
            <v>10</v>
          </cell>
          <cell r="C227">
            <v>2839.3110000000001</v>
          </cell>
        </row>
        <row r="228">
          <cell r="A228">
            <v>1998</v>
          </cell>
          <cell r="B228">
            <v>11</v>
          </cell>
          <cell r="C228">
            <v>3085.7379999999998</v>
          </cell>
        </row>
        <row r="229">
          <cell r="A229">
            <v>1998</v>
          </cell>
          <cell r="B229">
            <v>12</v>
          </cell>
          <cell r="C229">
            <v>3772.3809999999999</v>
          </cell>
        </row>
        <row r="230">
          <cell r="A230">
            <v>1999</v>
          </cell>
          <cell r="B230">
            <v>1</v>
          </cell>
          <cell r="C230">
            <v>4283.9709999999995</v>
          </cell>
        </row>
        <row r="231">
          <cell r="A231">
            <v>1999</v>
          </cell>
          <cell r="B231">
            <v>2</v>
          </cell>
          <cell r="C231">
            <v>3466.415</v>
          </cell>
        </row>
        <row r="232">
          <cell r="A232">
            <v>1999</v>
          </cell>
          <cell r="B232">
            <v>3</v>
          </cell>
          <cell r="C232">
            <v>3569.6669999999999</v>
          </cell>
        </row>
        <row r="233">
          <cell r="A233">
            <v>1999</v>
          </cell>
          <cell r="B233">
            <v>4</v>
          </cell>
          <cell r="C233">
            <v>2980.26</v>
          </cell>
        </row>
        <row r="234">
          <cell r="A234">
            <v>1999</v>
          </cell>
          <cell r="B234">
            <v>5</v>
          </cell>
          <cell r="C234">
            <v>2756.2020000000002</v>
          </cell>
        </row>
        <row r="235">
          <cell r="A235">
            <v>1999</v>
          </cell>
          <cell r="B235">
            <v>6</v>
          </cell>
          <cell r="C235">
            <v>3124.3339999999998</v>
          </cell>
        </row>
        <row r="236">
          <cell r="A236">
            <v>1999</v>
          </cell>
          <cell r="B236">
            <v>7</v>
          </cell>
          <cell r="C236">
            <v>3978.3679999999999</v>
          </cell>
        </row>
        <row r="237">
          <cell r="A237">
            <v>1999</v>
          </cell>
          <cell r="B237">
            <v>8</v>
          </cell>
          <cell r="C237">
            <v>3683.8809999999999</v>
          </cell>
        </row>
        <row r="238">
          <cell r="A238">
            <v>1999</v>
          </cell>
          <cell r="B238">
            <v>9</v>
          </cell>
          <cell r="C238">
            <v>3282.48</v>
          </cell>
        </row>
        <row r="239">
          <cell r="A239">
            <v>1999</v>
          </cell>
          <cell r="B239">
            <v>10</v>
          </cell>
          <cell r="C239">
            <v>2923.3760000000002</v>
          </cell>
        </row>
        <row r="240">
          <cell r="A240">
            <v>1999</v>
          </cell>
          <cell r="B240">
            <v>11</v>
          </cell>
          <cell r="C240">
            <v>3182.7539999999999</v>
          </cell>
        </row>
        <row r="241">
          <cell r="A241">
            <v>1999</v>
          </cell>
          <cell r="B241">
            <v>12</v>
          </cell>
          <cell r="C241">
            <v>3790.1779999999999</v>
          </cell>
        </row>
        <row r="242">
          <cell r="A242">
            <v>2000</v>
          </cell>
          <cell r="B242">
            <v>1</v>
          </cell>
          <cell r="C242">
            <v>4137.8630000000003</v>
          </cell>
        </row>
        <row r="243">
          <cell r="A243">
            <v>2000</v>
          </cell>
          <cell r="B243">
            <v>2</v>
          </cell>
          <cell r="C243">
            <v>3673.42</v>
          </cell>
        </row>
        <row r="244">
          <cell r="A244">
            <v>2000</v>
          </cell>
          <cell r="B244">
            <v>3</v>
          </cell>
          <cell r="C244">
            <v>3383.2849999999999</v>
          </cell>
        </row>
        <row r="245">
          <cell r="A245">
            <v>2000</v>
          </cell>
          <cell r="B245">
            <v>4</v>
          </cell>
          <cell r="C245">
            <v>2992.915</v>
          </cell>
        </row>
        <row r="246">
          <cell r="A246">
            <v>2000</v>
          </cell>
          <cell r="B246">
            <v>5</v>
          </cell>
          <cell r="C246">
            <v>3051.0050000000001</v>
          </cell>
        </row>
        <row r="247">
          <cell r="A247">
            <v>2000</v>
          </cell>
          <cell r="B247">
            <v>6</v>
          </cell>
          <cell r="C247">
            <v>3274.998</v>
          </cell>
        </row>
        <row r="248">
          <cell r="A248">
            <v>2000</v>
          </cell>
          <cell r="B248">
            <v>7</v>
          </cell>
          <cell r="C248">
            <v>3542.4279999999999</v>
          </cell>
        </row>
        <row r="249">
          <cell r="A249">
            <v>2000</v>
          </cell>
          <cell r="B249">
            <v>8</v>
          </cell>
          <cell r="C249">
            <v>3633.35</v>
          </cell>
        </row>
        <row r="250">
          <cell r="A250">
            <v>2000</v>
          </cell>
          <cell r="B250">
            <v>9</v>
          </cell>
          <cell r="C250">
            <v>3185.7890000000002</v>
          </cell>
        </row>
        <row r="251">
          <cell r="A251">
            <v>2000</v>
          </cell>
          <cell r="B251">
            <v>10</v>
          </cell>
          <cell r="C251">
            <v>3002.279</v>
          </cell>
        </row>
      </sheetData>
      <sheetData sheetId="2" refreshError="1"/>
      <sheetData sheetId="3">
        <row r="2">
          <cell r="B2" t="e">
            <v>#REF!</v>
          </cell>
          <cell r="C2" t="e">
            <v>#REF!</v>
          </cell>
        </row>
        <row r="3">
          <cell r="B3" t="e">
            <v>#REF!</v>
          </cell>
          <cell r="C3" t="e">
            <v>#REF!</v>
          </cell>
        </row>
        <row r="4">
          <cell r="B4" t="e">
            <v>#REF!</v>
          </cell>
          <cell r="C4" t="e">
            <v>#REF!</v>
          </cell>
        </row>
        <row r="5">
          <cell r="B5" t="e">
            <v>#REF!</v>
          </cell>
          <cell r="C5" t="e">
            <v>#REF!</v>
          </cell>
        </row>
        <row r="6">
          <cell r="B6" t="e">
            <v>#REF!</v>
          </cell>
          <cell r="C6" t="e">
            <v>#REF!</v>
          </cell>
        </row>
        <row r="7">
          <cell r="B7" t="e">
            <v>#REF!</v>
          </cell>
          <cell r="C7" t="e">
            <v>#REF!</v>
          </cell>
        </row>
        <row r="8">
          <cell r="B8">
            <v>1323.4086460543051</v>
          </cell>
          <cell r="C8">
            <v>345.16919651530668</v>
          </cell>
        </row>
        <row r="9">
          <cell r="B9">
            <v>1290.960650651351</v>
          </cell>
          <cell r="C9">
            <v>359.8976869273032</v>
          </cell>
        </row>
        <row r="10">
          <cell r="B10">
            <v>1258.4283078081432</v>
          </cell>
          <cell r="C10">
            <v>380.9763746351482</v>
          </cell>
        </row>
        <row r="11">
          <cell r="B11">
            <v>1230.9806037073733</v>
          </cell>
          <cell r="C11">
            <v>404.85530551120939</v>
          </cell>
        </row>
        <row r="12">
          <cell r="B12">
            <v>1197.1175365752706</v>
          </cell>
          <cell r="C12">
            <v>424.88031245846315</v>
          </cell>
        </row>
        <row r="13">
          <cell r="B13">
            <v>1166.4746763751743</v>
          </cell>
          <cell r="C13">
            <v>444.42957689689894</v>
          </cell>
        </row>
        <row r="14">
          <cell r="B14">
            <v>1134.0473519336624</v>
          </cell>
          <cell r="C14">
            <v>466.72144373540931</v>
          </cell>
        </row>
        <row r="15">
          <cell r="B15">
            <v>1106.9351350446866</v>
          </cell>
          <cell r="C15">
            <v>488.49928131908865</v>
          </cell>
        </row>
        <row r="16">
          <cell r="B16">
            <v>1077.2632913336943</v>
          </cell>
          <cell r="C16">
            <v>500.22389041337237</v>
          </cell>
        </row>
        <row r="17">
          <cell r="B17">
            <v>1053.4404644447304</v>
          </cell>
          <cell r="C17">
            <v>509.55835710653753</v>
          </cell>
        </row>
        <row r="18">
          <cell r="B18">
            <v>1034.0186582536971</v>
          </cell>
          <cell r="C18">
            <v>523.4492478240943</v>
          </cell>
        </row>
        <row r="19">
          <cell r="B19">
            <v>1019.5165888032915</v>
          </cell>
          <cell r="C19">
            <v>526.36109006934942</v>
          </cell>
        </row>
        <row r="20">
          <cell r="B20">
            <v>1010.5824259039227</v>
          </cell>
          <cell r="C20">
            <v>529.29313036566396</v>
          </cell>
        </row>
        <row r="21">
          <cell r="B21">
            <v>998.03977465058847</v>
          </cell>
          <cell r="C21">
            <v>535.23645245627006</v>
          </cell>
        </row>
        <row r="22">
          <cell r="B22">
            <v>981.89069316781115</v>
          </cell>
          <cell r="C22">
            <v>541.81001199485002</v>
          </cell>
        </row>
        <row r="23">
          <cell r="B23">
            <v>966.41080031969091</v>
          </cell>
          <cell r="C23">
            <v>544.24689690831383</v>
          </cell>
        </row>
        <row r="24">
          <cell r="B24">
            <v>953.25305499170338</v>
          </cell>
          <cell r="C24">
            <v>547.09660449945636</v>
          </cell>
        </row>
        <row r="25">
          <cell r="B25">
            <v>940.81835323080418</v>
          </cell>
          <cell r="C25">
            <v>550.44942402551646</v>
          </cell>
        </row>
        <row r="26">
          <cell r="B26">
            <v>928.91211774519286</v>
          </cell>
          <cell r="C26">
            <v>554.27883574197051</v>
          </cell>
        </row>
        <row r="27">
          <cell r="B27">
            <v>917.17330902882554</v>
          </cell>
          <cell r="C27">
            <v>558.6394073335764</v>
          </cell>
        </row>
        <row r="28">
          <cell r="B28">
            <v>906.00477276975494</v>
          </cell>
          <cell r="C28">
            <v>563.03539456179078</v>
          </cell>
        </row>
        <row r="29">
          <cell r="B29">
            <v>895.4989118300324</v>
          </cell>
          <cell r="C29">
            <v>567.78614499462583</v>
          </cell>
        </row>
        <row r="30">
          <cell r="B30">
            <v>885.90327668785199</v>
          </cell>
          <cell r="C30">
            <v>572.44268475818353</v>
          </cell>
        </row>
        <row r="31">
          <cell r="B31">
            <v>876.3229475976226</v>
          </cell>
          <cell r="C31">
            <v>577.52330425694743</v>
          </cell>
        </row>
        <row r="32">
          <cell r="B32">
            <v>866.67148790964598</v>
          </cell>
          <cell r="C32">
            <v>582.67192369332133</v>
          </cell>
        </row>
        <row r="33">
          <cell r="B33">
            <v>856.87878147709762</v>
          </cell>
          <cell r="C33">
            <v>587.791583287506</v>
          </cell>
        </row>
        <row r="34">
          <cell r="B34">
            <v>847.33599705361257</v>
          </cell>
          <cell r="C34">
            <v>593.04683562845048</v>
          </cell>
        </row>
        <row r="35">
          <cell r="B35">
            <v>837.54382906146827</v>
          </cell>
          <cell r="C35">
            <v>598.29449339263056</v>
          </cell>
        </row>
      </sheetData>
      <sheetData sheetId="4"/>
      <sheetData sheetId="5">
        <row r="2">
          <cell r="B2">
            <v>0.18107015424516737</v>
          </cell>
        </row>
      </sheetData>
      <sheetData sheetId="6">
        <row r="2">
          <cell r="B2">
            <v>3.4119999999999999</v>
          </cell>
        </row>
      </sheetData>
      <sheetData sheetId="7">
        <row r="2">
          <cell r="Q2">
            <v>1.1045119687619138</v>
          </cell>
        </row>
      </sheetData>
      <sheetData sheetId="8"/>
      <sheetData sheetId="9">
        <row r="2">
          <cell r="C2">
            <v>0.1015625</v>
          </cell>
          <cell r="D2">
            <v>8.3333333333333329E-2</v>
          </cell>
          <cell r="E2">
            <v>7.5709779179810713E-2</v>
          </cell>
          <cell r="F2">
            <v>7.5709779179810713E-2</v>
          </cell>
          <cell r="G2">
            <v>7.8171091445427721E-2</v>
          </cell>
          <cell r="H2">
            <v>8.3333333333333329E-2</v>
          </cell>
          <cell r="I2">
            <v>8.3333333333333329E-2</v>
          </cell>
          <cell r="J2">
            <v>8.3333333333333329E-2</v>
          </cell>
          <cell r="K2">
            <v>8.3333333333333329E-2</v>
          </cell>
          <cell r="L2">
            <v>9.8182753897774241E-2</v>
          </cell>
          <cell r="M2">
            <v>8.3333333333333329E-2</v>
          </cell>
        </row>
        <row r="3">
          <cell r="C3">
            <v>9.765625E-2</v>
          </cell>
          <cell r="D3">
            <v>8.3333333333333329E-2</v>
          </cell>
          <cell r="E3">
            <v>7.7812828601472123E-2</v>
          </cell>
          <cell r="F3">
            <v>7.7812828601472123E-2</v>
          </cell>
          <cell r="G3">
            <v>7.8171091445427721E-2</v>
          </cell>
          <cell r="H3">
            <v>8.3333333333333329E-2</v>
          </cell>
          <cell r="I3">
            <v>8.3333333333333329E-2</v>
          </cell>
          <cell r="J3">
            <v>8.3333333333333329E-2</v>
          </cell>
          <cell r="K3">
            <v>8.3333333333333329E-2</v>
          </cell>
          <cell r="L3">
            <v>9.4422296773449807E-2</v>
          </cell>
          <cell r="M3">
            <v>8.3333333333333329E-2</v>
          </cell>
        </row>
        <row r="4">
          <cell r="C4">
            <v>9.375E-2</v>
          </cell>
          <cell r="D4">
            <v>8.3333333333333329E-2</v>
          </cell>
          <cell r="E4">
            <v>7.8864353312302821E-2</v>
          </cell>
          <cell r="F4">
            <v>7.8864353312302821E-2</v>
          </cell>
          <cell r="G4">
            <v>7.9646017699115029E-2</v>
          </cell>
          <cell r="H4">
            <v>8.3333333333333329E-2</v>
          </cell>
          <cell r="I4">
            <v>8.3333333333333329E-2</v>
          </cell>
          <cell r="J4">
            <v>8.3333333333333329E-2</v>
          </cell>
          <cell r="K4">
            <v>8.3333333333333329E-2</v>
          </cell>
          <cell r="L4">
            <v>9.0621776199670406E-2</v>
          </cell>
          <cell r="M4">
            <v>8.3333333333333329E-2</v>
          </cell>
        </row>
        <row r="5">
          <cell r="C5">
            <v>8.59375E-2</v>
          </cell>
          <cell r="D5">
            <v>8.3333333333333329E-2</v>
          </cell>
          <cell r="E5">
            <v>7.9915878023133546E-2</v>
          </cell>
          <cell r="F5">
            <v>7.9915878023133546E-2</v>
          </cell>
          <cell r="G5">
            <v>8.1120943952802352E-2</v>
          </cell>
          <cell r="H5">
            <v>8.3333333333333329E-2</v>
          </cell>
          <cell r="I5">
            <v>8.3333333333333329E-2</v>
          </cell>
          <cell r="J5">
            <v>8.3333333333333329E-2</v>
          </cell>
          <cell r="K5">
            <v>8.3333333333333329E-2</v>
          </cell>
          <cell r="L5">
            <v>8.5759184176289791E-2</v>
          </cell>
          <cell r="M5">
            <v>8.3333333333333329E-2</v>
          </cell>
        </row>
        <row r="6">
          <cell r="C6">
            <v>8.203125E-2</v>
          </cell>
          <cell r="D6">
            <v>8.3333333333333329E-2</v>
          </cell>
          <cell r="E6">
            <v>8.4121976866456366E-2</v>
          </cell>
          <cell r="F6">
            <v>8.4121976866456366E-2</v>
          </cell>
          <cell r="G6">
            <v>8.259587020648966E-2</v>
          </cell>
          <cell r="H6">
            <v>8.3333333333333329E-2</v>
          </cell>
          <cell r="I6">
            <v>8.3333333333333329E-2</v>
          </cell>
          <cell r="J6">
            <v>8.3333333333333329E-2</v>
          </cell>
          <cell r="K6">
            <v>8.3333333333333329E-2</v>
          </cell>
          <cell r="L6">
            <v>7.8758507816662299E-2</v>
          </cell>
          <cell r="M6">
            <v>8.3333333333333329E-2</v>
          </cell>
        </row>
        <row r="7">
          <cell r="C7">
            <v>7.8125E-2</v>
          </cell>
          <cell r="D7">
            <v>8.3333333333333329E-2</v>
          </cell>
          <cell r="E7">
            <v>9.0431125131440568E-2</v>
          </cell>
          <cell r="F7">
            <v>9.0431125131440568E-2</v>
          </cell>
          <cell r="G7">
            <v>8.7020648967551628E-2</v>
          </cell>
          <cell r="H7">
            <v>8.3333333333333329E-2</v>
          </cell>
          <cell r="I7">
            <v>8.3333333333333329E-2</v>
          </cell>
          <cell r="J7">
            <v>8.3333333333333329E-2</v>
          </cell>
          <cell r="K7">
            <v>8.3333333333333329E-2</v>
          </cell>
          <cell r="L7">
            <v>7.0474300891255795E-2</v>
          </cell>
          <cell r="M7">
            <v>8.3333333333333329E-2</v>
          </cell>
        </row>
        <row r="8">
          <cell r="C8">
            <v>6.640625E-2</v>
          </cell>
          <cell r="D8">
            <v>8.3333333333333329E-2</v>
          </cell>
          <cell r="E8">
            <v>9.2534174553102019E-2</v>
          </cell>
          <cell r="F8">
            <v>9.2534174553102019E-2</v>
          </cell>
          <cell r="G8">
            <v>9.4395280235988185E-2</v>
          </cell>
          <cell r="H8">
            <v>8.3333333333333329E-2</v>
          </cell>
          <cell r="I8">
            <v>8.3333333333333329E-2</v>
          </cell>
          <cell r="J8">
            <v>8.3333333333333329E-2</v>
          </cell>
          <cell r="K8">
            <v>8.3333333333333329E-2</v>
          </cell>
          <cell r="L8">
            <v>6.7537871687453455E-2</v>
          </cell>
          <cell r="M8">
            <v>8.3333333333333329E-2</v>
          </cell>
        </row>
        <row r="9">
          <cell r="C9">
            <v>6.25E-2</v>
          </cell>
          <cell r="D9">
            <v>8.3333333333333329E-2</v>
          </cell>
          <cell r="E9">
            <v>9.2534174553101992E-2</v>
          </cell>
          <cell r="F9">
            <v>9.2534174553101992E-2</v>
          </cell>
          <cell r="G9">
            <v>9.4395280235988185E-2</v>
          </cell>
          <cell r="H9">
            <v>8.3333333333333329E-2</v>
          </cell>
          <cell r="I9">
            <v>8.3333333333333329E-2</v>
          </cell>
          <cell r="J9">
            <v>8.3333333333333329E-2</v>
          </cell>
          <cell r="K9">
            <v>8.3333333333333329E-2</v>
          </cell>
          <cell r="L9">
            <v>7.0007562503699813E-2</v>
          </cell>
          <cell r="M9">
            <v>8.3333333333333329E-2</v>
          </cell>
        </row>
        <row r="10">
          <cell r="C10">
            <v>7.03125E-2</v>
          </cell>
          <cell r="D10">
            <v>8.3333333333333329E-2</v>
          </cell>
          <cell r="E10">
            <v>8.6225026288117762E-2</v>
          </cell>
          <cell r="F10">
            <v>8.6225026288117762E-2</v>
          </cell>
          <cell r="G10">
            <v>8.5545722713864278E-2</v>
          </cell>
          <cell r="H10">
            <v>8.3333333333333329E-2</v>
          </cell>
          <cell r="I10">
            <v>8.3333333333333329E-2</v>
          </cell>
          <cell r="J10">
            <v>8.3333333333333329E-2</v>
          </cell>
          <cell r="K10">
            <v>8.3333333333333329E-2</v>
          </cell>
          <cell r="L10">
            <v>7.5335892792489145E-2</v>
          </cell>
          <cell r="M10">
            <v>8.3333333333333329E-2</v>
          </cell>
        </row>
        <row r="11">
          <cell r="C11">
            <v>7.8125E-2</v>
          </cell>
          <cell r="D11">
            <v>8.3333333333333329E-2</v>
          </cell>
          <cell r="E11">
            <v>8.4121976866456352E-2</v>
          </cell>
          <cell r="F11">
            <v>8.4121976866456352E-2</v>
          </cell>
          <cell r="G11">
            <v>8.1120943952802352E-2</v>
          </cell>
          <cell r="H11">
            <v>8.3333333333333329E-2</v>
          </cell>
          <cell r="I11">
            <v>8.3333333333333329E-2</v>
          </cell>
          <cell r="J11">
            <v>8.3333333333333329E-2</v>
          </cell>
          <cell r="K11">
            <v>8.3333333333333329E-2</v>
          </cell>
          <cell r="L11">
            <v>8.2900544703746845E-2</v>
          </cell>
          <cell r="M11">
            <v>8.3333333333333329E-2</v>
          </cell>
        </row>
        <row r="12">
          <cell r="C12">
            <v>8.59375E-2</v>
          </cell>
          <cell r="D12">
            <v>8.3333333333333329E-2</v>
          </cell>
          <cell r="E12">
            <v>7.9915878023133533E-2</v>
          </cell>
          <cell r="F12">
            <v>7.9915878023133533E-2</v>
          </cell>
          <cell r="G12">
            <v>7.9646017699115015E-2</v>
          </cell>
          <cell r="H12">
            <v>8.3333333333333329E-2</v>
          </cell>
          <cell r="I12">
            <v>8.3333333333333329E-2</v>
          </cell>
          <cell r="J12">
            <v>8.3333333333333329E-2</v>
          </cell>
          <cell r="K12">
            <v>8.3333333333333329E-2</v>
          </cell>
          <cell r="L12">
            <v>9.0621776199670406E-2</v>
          </cell>
          <cell r="M12">
            <v>8.3333333333333329E-2</v>
          </cell>
        </row>
        <row r="13">
          <cell r="C13">
            <v>9.765625E-2</v>
          </cell>
          <cell r="D13">
            <v>8.3333333333333329E-2</v>
          </cell>
          <cell r="E13">
            <v>7.7812828601472123E-2</v>
          </cell>
          <cell r="F13">
            <v>7.7812828601472123E-2</v>
          </cell>
          <cell r="G13">
            <v>7.8171091445427721E-2</v>
          </cell>
          <cell r="H13">
            <v>8.3333333333333329E-2</v>
          </cell>
          <cell r="I13">
            <v>8.3333333333333329E-2</v>
          </cell>
          <cell r="J13">
            <v>8.3333333333333329E-2</v>
          </cell>
          <cell r="K13">
            <v>8.3333333333333329E-2</v>
          </cell>
          <cell r="L13">
            <v>9.5377532357837844E-2</v>
          </cell>
          <cell r="M13">
            <v>8.3333333333333329E-2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In Program"/>
      <sheetName val="No Program"/>
      <sheetName val="With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 val="OVERVIEW"/>
      <sheetName val="INSTRUCTIONS-1"/>
      <sheetName val="INSTRUCTIONS-2"/>
      <sheetName val="PST set-up"/>
      <sheetName val="Yr 1 Inputs"/>
      <sheetName val="Yr X changes"/>
      <sheetName val="no_with_in prgm"/>
      <sheetName val="bdgts"/>
      <sheetName val="SaveEst"/>
      <sheetName val="Yr 1 Copy"/>
      <sheetName val="In Prgm Copy"/>
      <sheetName val="Calcs"/>
      <sheetName val="pen with incentives"/>
      <sheetName val="bdgt"/>
      <sheetName val="SaveEst - uncleared 10-27-08"/>
      <sheetName val="Yr 1 Copy- uncleared 10-27-08"/>
      <sheetName val="In Prgm Copy - uncleared 10-27-"/>
      <sheetName val="HVAC QAQ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18">
          <cell r="F18">
            <v>0</v>
          </cell>
        </row>
      </sheetData>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ow r="24">
          <cell r="F24" t="str">
            <v>Prgm</v>
          </cell>
        </row>
      </sheetData>
      <sheetData sheetId="1" refreshError="1"/>
      <sheetData sheetId="2"/>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Loadshapes"/>
      <sheetName val="Meas Cost &amp; Save Yr1"/>
      <sheetName val="Meas Non-Resource"/>
      <sheetName val="Meas Cost &amp; Save Changes"/>
      <sheetName val="O&amp;M Changes"/>
      <sheetName val="No Program"/>
      <sheetName val="With Program"/>
      <sheetName val="In Program"/>
      <sheetName val="Penetrations"/>
      <sheetName val="Utility Budgets"/>
      <sheetName val="Non-Utility Budgets"/>
      <sheetName val="Review"/>
      <sheetName val="Pivot - Review"/>
      <sheetName val="MeasScrn"/>
      <sheetName val="Pivot Tbl - Elec Bens"/>
      <sheetName val="SaveYr"/>
      <sheetName val="Program Cost-Effect"/>
      <sheetName val="BenefitsCosts Review"/>
      <sheetName val="Net Benefits"/>
      <sheetName val="Costs Summary"/>
      <sheetName val="Benefits Summary"/>
      <sheetName val="Energy Summary"/>
      <sheetName val="Resource Summary"/>
      <sheetName val="Electricity Savings"/>
      <sheetName val="Utility Costs"/>
      <sheetName val="Utility Cost per kWh"/>
      <sheetName val="Economic Cost per kWh"/>
      <sheetName val="Utility Benefits"/>
      <sheetName val="Economic Benefits"/>
      <sheetName val="Gas Savings"/>
      <sheetName val="Gas Savings % of Sales"/>
      <sheetName val="TRC per Gas Savings"/>
      <sheetName val="Report"/>
      <sheetName val="Rate Impact"/>
      <sheetName val="Emissions"/>
      <sheetName val="Elec Rate Impact"/>
      <sheetName val="ArrayNames"/>
      <sheetName val="Elec Savings by Period"/>
      <sheetName val="Config"/>
      <sheetName val="Tool Notes"/>
      <sheetName val="Dev"/>
    </sheetNames>
    <sheetDataSet>
      <sheetData sheetId="0">
        <row r="23">
          <cell r="F23" t="str">
            <v>Program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Gen Inputs"/>
      <sheetName val="Yr 1 Inputs"/>
      <sheetName val="meas non-resource"/>
      <sheetName val="Yr X changes"/>
      <sheetName val="no_with_in prgm"/>
      <sheetName val="bdgts"/>
      <sheetName val="SaveEst"/>
      <sheetName val="MRI DRP 2010"/>
    </sheetNames>
    <definedNames>
      <definedName name="Cnfg_WaterUnits" refersTo="#REF!" sheetId="0"/>
      <definedName name="CostsYr" refersTo="='Gen Inputs'!$C$6"/>
      <definedName name="FirstYr" refersTo="='Gen Inputs'!$C$4"/>
      <definedName name="Lkup_EndUse" refersTo="#REF!" sheetId="0"/>
      <definedName name="Lkup_FuelType" refersTo="#REF!" sheetId="0"/>
      <definedName name="LoadShapes" refersTo="='Gen Inputs'!$B$62:$B$92"/>
    </definedNames>
    <sheetDataSet>
      <sheetData sheetId="0"/>
      <sheetData sheetId="1">
        <row r="4">
          <cell r="C4">
            <v>2012</v>
          </cell>
        </row>
        <row r="6">
          <cell r="C6">
            <v>2012</v>
          </cell>
        </row>
        <row r="62">
          <cell r="B62" t="str">
            <v>RESIDENTIAL LOAD SHAPES</v>
          </cell>
        </row>
        <row r="63">
          <cell r="B63" t="str">
            <v>Res - Dehumidifier</v>
          </cell>
        </row>
        <row r="64">
          <cell r="B64" t="str">
            <v>Res A/C</v>
          </cell>
        </row>
        <row r="65">
          <cell r="B65" t="str">
            <v>Res Clothes Washer</v>
          </cell>
        </row>
        <row r="66">
          <cell r="B66" t="str">
            <v>Res Controlled DHW Conservation</v>
          </cell>
        </row>
        <row r="67">
          <cell r="B67" t="str">
            <v>Res Controlled DHW Fuel Switch</v>
          </cell>
        </row>
        <row r="68">
          <cell r="B68" t="str">
            <v>Res Controlled DHW Insulation</v>
          </cell>
        </row>
        <row r="69">
          <cell r="B69" t="str">
            <v>Res Controlled ESH (GMP)</v>
          </cell>
        </row>
        <row r="70">
          <cell r="B70" t="str">
            <v>Res Controlled ESH (Statewide)</v>
          </cell>
        </row>
        <row r="71">
          <cell r="B71" t="str">
            <v>Res DHW conserve</v>
          </cell>
        </row>
        <row r="72">
          <cell r="B72" t="str">
            <v>Res DHW fuel switch</v>
          </cell>
        </row>
        <row r="73">
          <cell r="B73" t="str">
            <v>Res DHW insulation</v>
          </cell>
        </row>
        <row r="74">
          <cell r="B74" t="str">
            <v>Res Furnace Fan Heating and Cooling</v>
          </cell>
        </row>
        <row r="75">
          <cell r="B75" t="str">
            <v>Res Indoor Lighting</v>
          </cell>
        </row>
        <row r="76">
          <cell r="B76" t="str">
            <v>Res Internal Power Supply, Residential Desktop</v>
          </cell>
        </row>
        <row r="77">
          <cell r="B77" t="str">
            <v>Res Outdoor HID</v>
          </cell>
        </row>
        <row r="78">
          <cell r="B78" t="str">
            <v>Res Outdoor Lighting</v>
          </cell>
        </row>
        <row r="79">
          <cell r="B79" t="str">
            <v>Res Refrigerator</v>
          </cell>
        </row>
        <row r="80">
          <cell r="B80" t="str">
            <v>Res Space heat</v>
          </cell>
        </row>
        <row r="81">
          <cell r="B81" t="str">
            <v>Res Storage ESH (GMP)</v>
          </cell>
        </row>
        <row r="82">
          <cell r="B82" t="str">
            <v>Res Storage ESH (Statewide)</v>
          </cell>
        </row>
        <row r="83">
          <cell r="B83" t="str">
            <v>Res Ventilation</v>
          </cell>
        </row>
        <row r="84">
          <cell r="B84" t="str">
            <v>Res Pool Pump Timer</v>
          </cell>
        </row>
        <row r="85">
          <cell r="B85" t="str">
            <v>Res Pool Pump Replacement</v>
          </cell>
        </row>
        <row r="86">
          <cell r="B86" t="str">
            <v>Res Blended Space Heat and A/C</v>
          </cell>
        </row>
        <row r="87">
          <cell r="B87" t="str">
            <v>Standby Losses - Entertainment Center</v>
          </cell>
        </row>
        <row r="88">
          <cell r="B88" t="str">
            <v>Standby Losses - Home Office</v>
          </cell>
        </row>
        <row r="89">
          <cell r="B89" t="str">
            <v>Efficient Television</v>
          </cell>
        </row>
        <row r="90">
          <cell r="B90" t="str">
            <v>Solar DHW</v>
          </cell>
        </row>
        <row r="91">
          <cell r="B91" t="str">
            <v>Com_InLight Blended</v>
          </cell>
        </row>
        <row r="92">
          <cell r="B92" t="str">
            <v>(last row)</v>
          </cell>
        </row>
      </sheetData>
      <sheetData sheetId="2"/>
      <sheetData sheetId="3"/>
      <sheetData sheetId="4"/>
      <sheetData sheetId="5"/>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02 Operating Expenses"/>
      <sheetName val="Feb '02 Operating Expenses"/>
      <sheetName val="Mar '02 Operating Expenses"/>
      <sheetName val="Apr '02 Operating Expenses"/>
      <sheetName val="May '02 Operating Expenses"/>
      <sheetName val="Jun '02 Operating Expenses"/>
      <sheetName val="Jul '02 Operating Expenses"/>
      <sheetName val="Aug '02 Operating Expenses"/>
      <sheetName val="Sept '02 Operating Expenses"/>
      <sheetName val="Data Entry"/>
      <sheetName val="Oct '02 Operating Expenses"/>
      <sheetName val="Nov '02 Operating Expenses"/>
      <sheetName val="Access Export"/>
      <sheetName val="Access Export Committed"/>
      <sheetName val="CEO Monthly Graphs"/>
      <sheetName val="2002 Summary Page "/>
      <sheetName val="Dec '02 Operating Expenses"/>
      <sheetName val="Defined Tables"/>
      <sheetName val="Assumptions"/>
      <sheetName val="Summary Sheet"/>
      <sheetName val="CEO-monthly"/>
      <sheetName val="NEEP charges - 2001 and 2002"/>
      <sheetName val="select CEO measures"/>
      <sheetName val="2002 Major Projects"/>
      <sheetName val="CEO on HOLD"/>
      <sheetName val="CEO Comp track projects"/>
      <sheetName val="Monthly Graphs"/>
      <sheetName val=" MWh &amp; Incentives forecast"/>
      <sheetName val="Job Summary thru 1-31-02"/>
      <sheetName val="Sep '02 Operating Expenses"/>
      <sheetName val="Cost Summary"/>
      <sheetName val="Incentive Summary"/>
      <sheetName val="Savings Summary"/>
      <sheetName val="savings and incentive graphs"/>
      <sheetName val="Q1'02 Analysis-Incentives"/>
      <sheetName val="Q2'02 Analysis-Incentives"/>
      <sheetName val="Q3'02 Analysis-Incentives"/>
      <sheetName val="Q4'02 Analysis-Incentives"/>
      <sheetName val="Q1'02 analysis-Optg exp"/>
      <sheetName val="Q2'02 analysis-Optg exp"/>
      <sheetName val="Q3'02 analysis-Optg exp"/>
      <sheetName val="Q4'02 analysis-Optg exp"/>
      <sheetName val="Expenditures Summary"/>
      <sheetName val="BES new staff and start dates"/>
    </sheetNames>
    <sheetDataSet>
      <sheetData sheetId="0"/>
      <sheetData sheetId="1"/>
      <sheetData sheetId="2"/>
      <sheetData sheetId="3"/>
      <sheetData sheetId="4"/>
      <sheetData sheetId="5"/>
      <sheetData sheetId="6"/>
      <sheetData sheetId="7"/>
      <sheetData sheetId="8"/>
      <sheetData sheetId="9">
        <row r="10">
          <cell r="C10" t="str">
            <v>Desc</v>
          </cell>
          <cell r="D10" t="str">
            <v>Exp_Type</v>
          </cell>
          <cell r="E10" t="str">
            <v>YR</v>
          </cell>
          <cell r="F10" t="str">
            <v>Func</v>
          </cell>
          <cell r="G10" t="str">
            <v>Org</v>
          </cell>
          <cell r="H10" t="str">
            <v>Staff</v>
          </cell>
          <cell r="I10" t="str">
            <v>Unit_Mea</v>
          </cell>
          <cell r="J10" t="str">
            <v>Unit_Cos</v>
          </cell>
          <cell r="K10" t="str">
            <v>Units</v>
          </cell>
          <cell r="L10" t="str">
            <v>CostXUn</v>
          </cell>
          <cell r="M10" t="str">
            <v>Fringe</v>
          </cell>
          <cell r="N10" t="str">
            <v>Indirect</v>
          </cell>
          <cell r="O10" t="str">
            <v>Infl</v>
          </cell>
          <cell r="P10" t="str">
            <v>Cont</v>
          </cell>
          <cell r="Q10" t="str">
            <v>Total_LI</v>
          </cell>
          <cell r="R10" t="str">
            <v>Ver</v>
          </cell>
        </row>
        <row r="11">
          <cell r="C11" t="str">
            <v>2000 Actual VLAB</v>
          </cell>
          <cell r="D11" t="str">
            <v>vlab</v>
          </cell>
          <cell r="E11">
            <v>1</v>
          </cell>
          <cell r="F11" t="str">
            <v>Actual Year 2000</v>
          </cell>
          <cell r="J11">
            <v>331750.49</v>
          </cell>
          <cell r="K11">
            <v>1</v>
          </cell>
          <cell r="L11">
            <v>331750.49</v>
          </cell>
          <cell r="Q11">
            <v>331750.49</v>
          </cell>
          <cell r="R11">
            <v>14</v>
          </cell>
          <cell r="S11" t="b">
            <v>0</v>
          </cell>
          <cell r="T11" t="b">
            <v>1</v>
          </cell>
          <cell r="U11" t="b">
            <v>0</v>
          </cell>
          <cell r="V11">
            <v>0</v>
          </cell>
          <cell r="W11" t="str">
            <v>off</v>
          </cell>
          <cell r="AA11">
            <v>0</v>
          </cell>
        </row>
        <row r="12">
          <cell r="C12" t="str">
            <v>2000 Actual SUB</v>
          </cell>
          <cell r="D12" t="str">
            <v>SUB</v>
          </cell>
          <cell r="E12">
            <v>1</v>
          </cell>
          <cell r="F12" t="str">
            <v>Actual Year 2000</v>
          </cell>
          <cell r="J12">
            <v>467596.66000000003</v>
          </cell>
          <cell r="K12">
            <v>1</v>
          </cell>
          <cell r="L12">
            <v>467596.66000000003</v>
          </cell>
          <cell r="Q12">
            <v>467596.66000000003</v>
          </cell>
          <cell r="R12">
            <v>14</v>
          </cell>
          <cell r="S12" t="b">
            <v>0</v>
          </cell>
          <cell r="T12" t="b">
            <v>1</v>
          </cell>
          <cell r="U12" t="b">
            <v>0</v>
          </cell>
          <cell r="V12">
            <v>0</v>
          </cell>
          <cell r="W12" t="str">
            <v>off</v>
          </cell>
          <cell r="AA12">
            <v>0</v>
          </cell>
        </row>
        <row r="13">
          <cell r="C13" t="str">
            <v>2000 Actual Incentive</v>
          </cell>
          <cell r="D13" t="str">
            <v>MC</v>
          </cell>
          <cell r="E13">
            <v>1</v>
          </cell>
          <cell r="F13" t="str">
            <v>Actual Year 2000</v>
          </cell>
          <cell r="J13">
            <v>448024.61</v>
          </cell>
          <cell r="K13">
            <v>1</v>
          </cell>
          <cell r="L13">
            <v>448024.61</v>
          </cell>
          <cell r="Q13">
            <v>448024.61</v>
          </cell>
          <cell r="R13">
            <v>14</v>
          </cell>
          <cell r="S13" t="b">
            <v>0</v>
          </cell>
          <cell r="T13" t="b">
            <v>1</v>
          </cell>
          <cell r="U13" t="b">
            <v>0</v>
          </cell>
          <cell r="V13">
            <v>0</v>
          </cell>
          <cell r="W13" t="str">
            <v>off</v>
          </cell>
          <cell r="AA13">
            <v>0</v>
          </cell>
        </row>
        <row r="14">
          <cell r="C14" t="str">
            <v>2000 Actual Travel</v>
          </cell>
          <cell r="D14" t="str">
            <v>TR</v>
          </cell>
          <cell r="E14">
            <v>1</v>
          </cell>
          <cell r="F14" t="str">
            <v>Actual Year 2000</v>
          </cell>
          <cell r="J14">
            <v>12513.96</v>
          </cell>
          <cell r="K14">
            <v>1</v>
          </cell>
          <cell r="L14">
            <v>12513.96</v>
          </cell>
          <cell r="Q14">
            <v>12513.96</v>
          </cell>
          <cell r="R14">
            <v>14</v>
          </cell>
          <cell r="S14" t="b">
            <v>0</v>
          </cell>
          <cell r="T14" t="b">
            <v>1</v>
          </cell>
          <cell r="U14" t="b">
            <v>0</v>
          </cell>
          <cell r="V14">
            <v>0</v>
          </cell>
          <cell r="W14" t="str">
            <v>off</v>
          </cell>
          <cell r="AA14">
            <v>0</v>
          </cell>
        </row>
        <row r="15">
          <cell r="C15" t="str">
            <v>2000 Actual ODC</v>
          </cell>
          <cell r="D15" t="str">
            <v>ODC</v>
          </cell>
          <cell r="E15">
            <v>1</v>
          </cell>
          <cell r="F15" t="str">
            <v>Actual Year 2000</v>
          </cell>
          <cell r="J15">
            <v>12254.47</v>
          </cell>
          <cell r="K15">
            <v>1</v>
          </cell>
          <cell r="L15">
            <v>12254.47</v>
          </cell>
          <cell r="Q15">
            <v>12254.47</v>
          </cell>
          <cell r="R15">
            <v>14</v>
          </cell>
          <cell r="S15" t="b">
            <v>0</v>
          </cell>
          <cell r="T15" t="b">
            <v>1</v>
          </cell>
          <cell r="U15" t="b">
            <v>0</v>
          </cell>
          <cell r="V15">
            <v>0</v>
          </cell>
          <cell r="W15" t="str">
            <v>off</v>
          </cell>
          <cell r="AA15">
            <v>0</v>
          </cell>
        </row>
        <row r="16">
          <cell r="C16" t="str">
            <v>2001 Actual VLAB</v>
          </cell>
          <cell r="D16" t="str">
            <v>vlab</v>
          </cell>
          <cell r="E16">
            <v>2</v>
          </cell>
          <cell r="F16" t="str">
            <v>Actual Year 2001</v>
          </cell>
          <cell r="J16">
            <v>602921.51</v>
          </cell>
          <cell r="K16">
            <v>1</v>
          </cell>
          <cell r="L16">
            <v>602921.51</v>
          </cell>
          <cell r="Q16">
            <v>602921.51</v>
          </cell>
          <cell r="R16">
            <v>14</v>
          </cell>
          <cell r="S16" t="b">
            <v>0</v>
          </cell>
          <cell r="T16" t="b">
            <v>1</v>
          </cell>
          <cell r="U16" t="b">
            <v>0</v>
          </cell>
          <cell r="V16">
            <v>0</v>
          </cell>
          <cell r="W16" t="str">
            <v>off</v>
          </cell>
          <cell r="AA16">
            <v>0</v>
          </cell>
        </row>
        <row r="17">
          <cell r="C17" t="str">
            <v>2001 Actual SUB</v>
          </cell>
          <cell r="D17" t="str">
            <v>SUB</v>
          </cell>
          <cell r="E17">
            <v>2</v>
          </cell>
          <cell r="F17" t="str">
            <v>Actual Year 2001</v>
          </cell>
          <cell r="J17">
            <v>345661.55</v>
          </cell>
          <cell r="K17">
            <v>1</v>
          </cell>
          <cell r="L17">
            <v>345661.55</v>
          </cell>
          <cell r="Q17">
            <v>345661.55</v>
          </cell>
          <cell r="R17">
            <v>14</v>
          </cell>
          <cell r="S17" t="b">
            <v>0</v>
          </cell>
          <cell r="T17" t="b">
            <v>1</v>
          </cell>
          <cell r="U17" t="b">
            <v>0</v>
          </cell>
          <cell r="V17">
            <v>0</v>
          </cell>
          <cell r="W17" t="str">
            <v>off</v>
          </cell>
          <cell r="AA17">
            <v>0</v>
          </cell>
        </row>
        <row r="18">
          <cell r="C18" t="str">
            <v>2001 Actual Incentive</v>
          </cell>
          <cell r="D18" t="str">
            <v>MC</v>
          </cell>
          <cell r="E18">
            <v>2</v>
          </cell>
          <cell r="F18" t="str">
            <v>Actual Year 2001</v>
          </cell>
          <cell r="J18">
            <v>894338.36</v>
          </cell>
          <cell r="K18">
            <v>1</v>
          </cell>
          <cell r="L18">
            <v>894338.36</v>
          </cell>
          <cell r="Q18">
            <v>894338.36</v>
          </cell>
          <cell r="R18">
            <v>14</v>
          </cell>
          <cell r="S18" t="b">
            <v>0</v>
          </cell>
          <cell r="T18" t="b">
            <v>1</v>
          </cell>
          <cell r="U18" t="b">
            <v>0</v>
          </cell>
          <cell r="V18">
            <v>0</v>
          </cell>
          <cell r="W18" t="str">
            <v>off</v>
          </cell>
          <cell r="AA18">
            <v>0</v>
          </cell>
        </row>
        <row r="19">
          <cell r="C19" t="str">
            <v>2001 Actual Travel</v>
          </cell>
          <cell r="D19" t="str">
            <v>TR</v>
          </cell>
          <cell r="E19">
            <v>2</v>
          </cell>
          <cell r="F19" t="str">
            <v>Actual Year 2001</v>
          </cell>
          <cell r="J19">
            <v>12682.78</v>
          </cell>
          <cell r="K19">
            <v>1</v>
          </cell>
          <cell r="L19">
            <v>12682.78</v>
          </cell>
          <cell r="Q19">
            <v>12682.78</v>
          </cell>
          <cell r="R19">
            <v>14</v>
          </cell>
          <cell r="S19" t="b">
            <v>0</v>
          </cell>
          <cell r="T19" t="b">
            <v>1</v>
          </cell>
          <cell r="U19" t="b">
            <v>0</v>
          </cell>
          <cell r="V19">
            <v>0</v>
          </cell>
          <cell r="W19" t="str">
            <v>off</v>
          </cell>
          <cell r="AA19">
            <v>0</v>
          </cell>
        </row>
        <row r="20">
          <cell r="C20" t="str">
            <v>2001 Actual ODC</v>
          </cell>
          <cell r="D20" t="str">
            <v>ODC</v>
          </cell>
          <cell r="E20">
            <v>2</v>
          </cell>
          <cell r="F20" t="str">
            <v>Actual Year 2001</v>
          </cell>
          <cell r="J20">
            <v>32174.29</v>
          </cell>
          <cell r="K20">
            <v>1</v>
          </cell>
          <cell r="L20">
            <v>32174.29</v>
          </cell>
          <cell r="Q20">
            <v>32174.29</v>
          </cell>
          <cell r="R20">
            <v>14</v>
          </cell>
          <cell r="S20" t="b">
            <v>0</v>
          </cell>
          <cell r="T20" t="b">
            <v>1</v>
          </cell>
          <cell r="U20" t="b">
            <v>0</v>
          </cell>
          <cell r="V20">
            <v>0</v>
          </cell>
          <cell r="W20" t="str">
            <v>off</v>
          </cell>
          <cell r="AA20">
            <v>0</v>
          </cell>
        </row>
        <row r="21">
          <cell r="C21" t="str">
            <v>Program Management</v>
          </cell>
          <cell r="D21" t="str">
            <v>vlab</v>
          </cell>
          <cell r="E21">
            <v>3</v>
          </cell>
          <cell r="F21" t="str">
            <v>admin</v>
          </cell>
          <cell r="G21" t="str">
            <v>veic</v>
          </cell>
          <cell r="H21" t="str">
            <v>DG</v>
          </cell>
          <cell r="I21" t="str">
            <v>HR</v>
          </cell>
          <cell r="J21">
            <v>33.61</v>
          </cell>
          <cell r="K21">
            <v>1683</v>
          </cell>
          <cell r="L21">
            <v>56565.63</v>
          </cell>
          <cell r="M21">
            <v>18101.0016</v>
          </cell>
          <cell r="N21">
            <v>21374.1</v>
          </cell>
          <cell r="O21">
            <v>1920.8146320000001</v>
          </cell>
          <cell r="P21">
            <v>0</v>
          </cell>
          <cell r="Q21">
            <v>97961.546231999993</v>
          </cell>
          <cell r="R21">
            <v>14</v>
          </cell>
          <cell r="S21" t="b">
            <v>0</v>
          </cell>
          <cell r="T21" t="b">
            <v>1</v>
          </cell>
          <cell r="U21" t="b">
            <v>0</v>
          </cell>
          <cell r="V21">
            <v>0</v>
          </cell>
          <cell r="W21" t="str">
            <v>off</v>
          </cell>
          <cell r="AA21">
            <v>1920.8146320000001</v>
          </cell>
        </row>
        <row r="22">
          <cell r="C22" t="str">
            <v>Program Administration</v>
          </cell>
          <cell r="D22" t="str">
            <v>vlab</v>
          </cell>
          <cell r="E22">
            <v>3</v>
          </cell>
          <cell r="F22" t="str">
            <v>admin</v>
          </cell>
          <cell r="G22" t="str">
            <v>veic</v>
          </cell>
          <cell r="H22" t="str">
            <v>DPA</v>
          </cell>
          <cell r="I22" t="str">
            <v>HR</v>
          </cell>
          <cell r="J22">
            <v>14.62</v>
          </cell>
          <cell r="K22">
            <v>1683</v>
          </cell>
          <cell r="L22">
            <v>24605.46</v>
          </cell>
          <cell r="M22">
            <v>7873.7471999999998</v>
          </cell>
          <cell r="N22">
            <v>21374.1</v>
          </cell>
          <cell r="O22">
            <v>1077.0661439999999</v>
          </cell>
          <cell r="P22">
            <v>0</v>
          </cell>
          <cell r="Q22">
            <v>54930.373343999992</v>
          </cell>
          <cell r="R22">
            <v>14</v>
          </cell>
          <cell r="S22" t="b">
            <v>0</v>
          </cell>
          <cell r="T22" t="b">
            <v>1</v>
          </cell>
          <cell r="U22" t="b">
            <v>0</v>
          </cell>
          <cell r="V22">
            <v>0</v>
          </cell>
          <cell r="W22" t="str">
            <v>off</v>
          </cell>
          <cell r="AA22">
            <v>1077.0661439999999</v>
          </cell>
        </row>
        <row r="23">
          <cell r="C23" t="str">
            <v>Program Administration</v>
          </cell>
          <cell r="D23" t="str">
            <v>vlab</v>
          </cell>
          <cell r="E23">
            <v>3</v>
          </cell>
          <cell r="F23" t="str">
            <v>admin</v>
          </cell>
          <cell r="G23" t="str">
            <v>veic</v>
          </cell>
          <cell r="H23" t="str">
            <v>LP</v>
          </cell>
          <cell r="I23" t="str">
            <v>HR</v>
          </cell>
          <cell r="J23">
            <v>10.82</v>
          </cell>
          <cell r="K23">
            <v>390.75</v>
          </cell>
          <cell r="L23">
            <v>4227.915</v>
          </cell>
          <cell r="M23">
            <v>1352.9328</v>
          </cell>
          <cell r="N23">
            <v>4962.5249999999996</v>
          </cell>
          <cell r="O23">
            <v>210.86745599999998</v>
          </cell>
          <cell r="P23">
            <v>0</v>
          </cell>
          <cell r="Q23">
            <v>10754.240255999999</v>
          </cell>
          <cell r="R23">
            <v>14</v>
          </cell>
          <cell r="S23" t="b">
            <v>0</v>
          </cell>
          <cell r="T23" t="b">
            <v>1</v>
          </cell>
          <cell r="U23" t="b">
            <v>0</v>
          </cell>
          <cell r="V23">
            <v>0</v>
          </cell>
          <cell r="W23" t="str">
            <v>off</v>
          </cell>
          <cell r="AA23">
            <v>210.86745599999998</v>
          </cell>
        </row>
        <row r="24">
          <cell r="C24" t="str">
            <v>Program Administration</v>
          </cell>
          <cell r="D24" t="str">
            <v>vlab</v>
          </cell>
          <cell r="E24">
            <v>3</v>
          </cell>
          <cell r="F24" t="str">
            <v>admin</v>
          </cell>
          <cell r="G24" t="str">
            <v>veic</v>
          </cell>
          <cell r="H24" t="str">
            <v>MGI</v>
          </cell>
          <cell r="I24" t="str">
            <v>HR</v>
          </cell>
          <cell r="J24">
            <v>12</v>
          </cell>
          <cell r="K24">
            <v>1292.25</v>
          </cell>
          <cell r="L24">
            <v>15507</v>
          </cell>
          <cell r="M24">
            <v>4962.24</v>
          </cell>
          <cell r="N24">
            <v>16411.575000000001</v>
          </cell>
          <cell r="O24">
            <v>737.61630000000002</v>
          </cell>
          <cell r="P24">
            <v>0</v>
          </cell>
          <cell r="Q24">
            <v>37618.431300000004</v>
          </cell>
          <cell r="R24">
            <v>14</v>
          </cell>
          <cell r="S24" t="b">
            <v>0</v>
          </cell>
          <cell r="T24" t="b">
            <v>1</v>
          </cell>
          <cell r="U24" t="b">
            <v>0</v>
          </cell>
          <cell r="V24">
            <v>0</v>
          </cell>
          <cell r="W24" t="str">
            <v>off</v>
          </cell>
          <cell r="AA24">
            <v>737.61630000000002</v>
          </cell>
        </row>
        <row r="25">
          <cell r="C25" t="str">
            <v>Tech. Associate Project Manager</v>
          </cell>
          <cell r="D25" t="str">
            <v>vlab</v>
          </cell>
          <cell r="E25">
            <v>3</v>
          </cell>
          <cell r="F25" t="str">
            <v>admin</v>
          </cell>
          <cell r="G25" t="str">
            <v>veic</v>
          </cell>
          <cell r="H25" t="str">
            <v>DMX</v>
          </cell>
          <cell r="I25" t="str">
            <v>HR</v>
          </cell>
          <cell r="J25">
            <v>16.41</v>
          </cell>
          <cell r="K25">
            <v>1683</v>
          </cell>
          <cell r="L25">
            <v>27618.03</v>
          </cell>
          <cell r="M25">
            <v>8837.7695999999996</v>
          </cell>
          <cell r="N25">
            <v>21374.1</v>
          </cell>
          <cell r="O25">
            <v>1156.597992</v>
          </cell>
          <cell r="P25">
            <v>0</v>
          </cell>
          <cell r="Q25">
            <v>58986.497592</v>
          </cell>
          <cell r="R25">
            <v>14</v>
          </cell>
          <cell r="S25" t="b">
            <v>0</v>
          </cell>
          <cell r="T25" t="b">
            <v>1</v>
          </cell>
          <cell r="U25" t="b">
            <v>0</v>
          </cell>
          <cell r="V25">
            <v>0</v>
          </cell>
          <cell r="W25" t="str">
            <v>off</v>
          </cell>
          <cell r="AA25">
            <v>1156.597992</v>
          </cell>
        </row>
        <row r="26">
          <cell r="C26" t="str">
            <v>Project Management</v>
          </cell>
          <cell r="D26" t="str">
            <v>vlab</v>
          </cell>
          <cell r="E26">
            <v>3</v>
          </cell>
          <cell r="F26" t="str">
            <v>imp</v>
          </cell>
          <cell r="G26" t="str">
            <v>veic</v>
          </cell>
          <cell r="H26" t="str">
            <v>MJP</v>
          </cell>
          <cell r="I26" t="str">
            <v>HR</v>
          </cell>
          <cell r="J26">
            <v>21.905000000000001</v>
          </cell>
          <cell r="K26">
            <v>1000</v>
          </cell>
          <cell r="L26">
            <v>21905</v>
          </cell>
          <cell r="M26">
            <v>7009.6</v>
          </cell>
          <cell r="N26">
            <v>12700</v>
          </cell>
          <cell r="O26">
            <v>832.29200000000003</v>
          </cell>
          <cell r="P26">
            <v>0</v>
          </cell>
          <cell r="Q26">
            <v>42446.892</v>
          </cell>
          <cell r="R26">
            <v>14</v>
          </cell>
          <cell r="S26" t="b">
            <v>0</v>
          </cell>
          <cell r="T26" t="b">
            <v>1</v>
          </cell>
          <cell r="U26" t="b">
            <v>0</v>
          </cell>
          <cell r="V26">
            <v>0</v>
          </cell>
          <cell r="W26" t="str">
            <v>off</v>
          </cell>
          <cell r="AA26">
            <v>832.29200000000003</v>
          </cell>
        </row>
        <row r="27">
          <cell r="C27" t="str">
            <v>Sr Project Manager - actual costs</v>
          </cell>
          <cell r="D27" t="str">
            <v>vlab</v>
          </cell>
          <cell r="E27">
            <v>3</v>
          </cell>
          <cell r="F27" t="str">
            <v>imp</v>
          </cell>
          <cell r="G27" t="str">
            <v>veic</v>
          </cell>
          <cell r="H27" t="str">
            <v>RK</v>
          </cell>
          <cell r="I27" t="str">
            <v>HR</v>
          </cell>
          <cell r="J27">
            <v>35.31</v>
          </cell>
          <cell r="K27">
            <v>438</v>
          </cell>
          <cell r="L27">
            <v>15465.78</v>
          </cell>
          <cell r="M27">
            <v>4949.0496000000003</v>
          </cell>
          <cell r="N27">
            <v>5562.5999999999995</v>
          </cell>
          <cell r="O27">
            <v>519.54859199999999</v>
          </cell>
          <cell r="P27">
            <v>0</v>
          </cell>
          <cell r="Q27">
            <v>26496.978191999999</v>
          </cell>
          <cell r="R27">
            <v>14</v>
          </cell>
          <cell r="S27" t="b">
            <v>0</v>
          </cell>
          <cell r="T27" t="b">
            <v>1</v>
          </cell>
          <cell r="U27" t="b">
            <v>0</v>
          </cell>
          <cell r="V27">
            <v>0</v>
          </cell>
          <cell r="W27" t="str">
            <v>off</v>
          </cell>
          <cell r="AA27">
            <v>519.54859199999999</v>
          </cell>
        </row>
        <row r="28">
          <cell r="C28" t="str">
            <v>Sr Project Manager (previous rate)</v>
          </cell>
          <cell r="D28" t="str">
            <v>vlab</v>
          </cell>
          <cell r="E28">
            <v>3</v>
          </cell>
          <cell r="F28" t="str">
            <v>imp</v>
          </cell>
          <cell r="G28" t="str">
            <v>veic</v>
          </cell>
          <cell r="H28" t="str">
            <v>JP</v>
          </cell>
          <cell r="I28" t="str">
            <v>HR</v>
          </cell>
          <cell r="J28">
            <v>27.13</v>
          </cell>
          <cell r="K28">
            <v>662.99999999999989</v>
          </cell>
          <cell r="L28">
            <v>17987.189999999995</v>
          </cell>
          <cell r="M28">
            <v>5755.9007999999985</v>
          </cell>
          <cell r="N28">
            <v>8420.0999999999985</v>
          </cell>
          <cell r="O28">
            <v>643.26381599999991</v>
          </cell>
          <cell r="P28">
            <v>0</v>
          </cell>
          <cell r="Q28">
            <v>32806.454615999995</v>
          </cell>
          <cell r="R28">
            <v>14</v>
          </cell>
          <cell r="S28" t="b">
            <v>0</v>
          </cell>
          <cell r="T28" t="b">
            <v>1</v>
          </cell>
          <cell r="U28" t="b">
            <v>0</v>
          </cell>
          <cell r="V28">
            <v>0</v>
          </cell>
          <cell r="W28" t="str">
            <v>off</v>
          </cell>
          <cell r="AA28">
            <v>643.26381599999991</v>
          </cell>
        </row>
        <row r="29">
          <cell r="C29" t="str">
            <v>Sr Project Manager</v>
          </cell>
          <cell r="D29" t="str">
            <v>vlab</v>
          </cell>
          <cell r="E29">
            <v>3</v>
          </cell>
          <cell r="F29" t="str">
            <v>imp</v>
          </cell>
          <cell r="G29" t="str">
            <v>veic</v>
          </cell>
          <cell r="H29" t="str">
            <v>JP</v>
          </cell>
          <cell r="I29" t="str">
            <v>HR</v>
          </cell>
          <cell r="J29">
            <v>31.795000000000002</v>
          </cell>
          <cell r="K29">
            <v>612</v>
          </cell>
          <cell r="L29">
            <v>19458.54</v>
          </cell>
          <cell r="M29">
            <v>6226.7328000000007</v>
          </cell>
          <cell r="N29">
            <v>7772.4</v>
          </cell>
          <cell r="O29">
            <v>669.15345600000001</v>
          </cell>
          <cell r="P29">
            <v>0</v>
          </cell>
          <cell r="Q29">
            <v>34126.826256</v>
          </cell>
          <cell r="R29">
            <v>14</v>
          </cell>
          <cell r="S29" t="b">
            <v>0</v>
          </cell>
          <cell r="T29" t="b">
            <v>1</v>
          </cell>
          <cell r="U29" t="b">
            <v>0</v>
          </cell>
          <cell r="V29">
            <v>0</v>
          </cell>
          <cell r="W29" t="str">
            <v>off</v>
          </cell>
          <cell r="AA29">
            <v>669.15345600000001</v>
          </cell>
        </row>
        <row r="30">
          <cell r="C30" t="str">
            <v>Sr Project Manager</v>
          </cell>
          <cell r="D30" t="str">
            <v>vlab</v>
          </cell>
          <cell r="E30">
            <v>3</v>
          </cell>
          <cell r="F30" t="str">
            <v>ADMIN</v>
          </cell>
          <cell r="G30" t="str">
            <v>veic</v>
          </cell>
          <cell r="H30" t="str">
            <v>JP</v>
          </cell>
          <cell r="I30" t="str">
            <v>HR</v>
          </cell>
          <cell r="J30">
            <v>31.795000000000002</v>
          </cell>
          <cell r="K30">
            <v>408.00000000000006</v>
          </cell>
          <cell r="L30">
            <v>12972.360000000002</v>
          </cell>
          <cell r="M30">
            <v>4151.1552000000011</v>
          </cell>
          <cell r="N30">
            <v>5181.6000000000004</v>
          </cell>
          <cell r="O30">
            <v>446.102304</v>
          </cell>
          <cell r="P30">
            <v>0</v>
          </cell>
          <cell r="Q30">
            <v>22751.217504</v>
          </cell>
          <cell r="R30">
            <v>14</v>
          </cell>
          <cell r="S30" t="b">
            <v>0</v>
          </cell>
          <cell r="T30" t="b">
            <v>1</v>
          </cell>
          <cell r="U30" t="b">
            <v>0</v>
          </cell>
          <cell r="V30">
            <v>0</v>
          </cell>
          <cell r="W30" t="str">
            <v>off</v>
          </cell>
          <cell r="AA30">
            <v>446.102304</v>
          </cell>
        </row>
        <row r="31">
          <cell r="C31" t="str">
            <v>Project Management</v>
          </cell>
          <cell r="D31" t="str">
            <v>vlab</v>
          </cell>
          <cell r="E31">
            <v>3</v>
          </cell>
          <cell r="F31" t="str">
            <v>imp</v>
          </cell>
          <cell r="G31" t="str">
            <v>veic</v>
          </cell>
          <cell r="H31" t="str">
            <v>GP</v>
          </cell>
          <cell r="I31" t="str">
            <v>HR</v>
          </cell>
          <cell r="J31">
            <v>22.56</v>
          </cell>
          <cell r="K31">
            <v>1683</v>
          </cell>
          <cell r="L31">
            <v>37968.479999999996</v>
          </cell>
          <cell r="M31">
            <v>12149.913599999998</v>
          </cell>
          <cell r="N31">
            <v>21374.1</v>
          </cell>
          <cell r="O31">
            <v>1429.8498719999998</v>
          </cell>
          <cell r="P31">
            <v>0</v>
          </cell>
          <cell r="Q31">
            <v>72922.343471999993</v>
          </cell>
          <cell r="R31">
            <v>14</v>
          </cell>
          <cell r="S31" t="b">
            <v>0</v>
          </cell>
          <cell r="T31" t="b">
            <v>1</v>
          </cell>
          <cell r="U31" t="b">
            <v>0</v>
          </cell>
          <cell r="V31">
            <v>0</v>
          </cell>
          <cell r="W31" t="str">
            <v>off</v>
          </cell>
          <cell r="AA31">
            <v>1429.8498719999998</v>
          </cell>
        </row>
        <row r="32">
          <cell r="C32" t="str">
            <v>Project Management</v>
          </cell>
          <cell r="D32" t="str">
            <v>vlab</v>
          </cell>
          <cell r="E32">
            <v>3</v>
          </cell>
          <cell r="F32" t="str">
            <v>imp</v>
          </cell>
          <cell r="G32" t="str">
            <v>veic</v>
          </cell>
          <cell r="H32" t="str">
            <v>GA</v>
          </cell>
          <cell r="I32" t="str">
            <v>HR</v>
          </cell>
          <cell r="J32">
            <v>22.07</v>
          </cell>
          <cell r="K32">
            <v>1683</v>
          </cell>
          <cell r="L32">
            <v>37143.81</v>
          </cell>
          <cell r="M32">
            <v>11886.019199999999</v>
          </cell>
          <cell r="N32">
            <v>21374.1</v>
          </cell>
          <cell r="O32">
            <v>1408.0785839999996</v>
          </cell>
          <cell r="P32">
            <v>0</v>
          </cell>
          <cell r="Q32">
            <v>71812.007783999987</v>
          </cell>
          <cell r="R32">
            <v>14</v>
          </cell>
          <cell r="S32" t="b">
            <v>0</v>
          </cell>
          <cell r="T32" t="b">
            <v>1</v>
          </cell>
          <cell r="U32" t="b">
            <v>0</v>
          </cell>
          <cell r="V32">
            <v>0</v>
          </cell>
          <cell r="W32" t="str">
            <v>off</v>
          </cell>
          <cell r="AA32">
            <v>1408.0785839999996</v>
          </cell>
        </row>
        <row r="33">
          <cell r="C33" t="str">
            <v>Project Management</v>
          </cell>
          <cell r="D33" t="str">
            <v>vlab</v>
          </cell>
          <cell r="E33">
            <v>3</v>
          </cell>
          <cell r="F33" t="str">
            <v>imp</v>
          </cell>
          <cell r="G33" t="str">
            <v>veic</v>
          </cell>
          <cell r="H33" t="str">
            <v>JKL</v>
          </cell>
          <cell r="I33" t="str">
            <v>HR</v>
          </cell>
          <cell r="J33">
            <v>23.08</v>
          </cell>
          <cell r="K33">
            <v>1683</v>
          </cell>
          <cell r="L33">
            <v>38843.64</v>
          </cell>
          <cell r="M33">
            <v>12429.9648</v>
          </cell>
          <cell r="N33">
            <v>21374.1</v>
          </cell>
          <cell r="O33">
            <v>1452.9540960000002</v>
          </cell>
          <cell r="P33">
            <v>0</v>
          </cell>
          <cell r="Q33">
            <v>74100.658896000008</v>
          </cell>
          <cell r="R33">
            <v>14</v>
          </cell>
          <cell r="S33" t="b">
            <v>0</v>
          </cell>
          <cell r="T33" t="b">
            <v>1</v>
          </cell>
          <cell r="U33" t="b">
            <v>0</v>
          </cell>
          <cell r="V33">
            <v>0</v>
          </cell>
          <cell r="W33" t="str">
            <v>off</v>
          </cell>
          <cell r="AA33">
            <v>1452.9540960000002</v>
          </cell>
        </row>
        <row r="34">
          <cell r="C34" t="str">
            <v>Project Management</v>
          </cell>
          <cell r="D34" t="str">
            <v>vlab</v>
          </cell>
          <cell r="E34">
            <v>3</v>
          </cell>
          <cell r="F34" t="str">
            <v>imp</v>
          </cell>
          <cell r="G34" t="str">
            <v>veic</v>
          </cell>
          <cell r="H34" t="str">
            <v>BES proj mgr</v>
          </cell>
          <cell r="I34" t="str">
            <v>HR</v>
          </cell>
          <cell r="J34">
            <v>30.76923076923077</v>
          </cell>
          <cell r="K34">
            <v>366.0865384615384</v>
          </cell>
          <cell r="L34">
            <v>11264.201183431951</v>
          </cell>
          <cell r="M34">
            <v>3604.5443786982246</v>
          </cell>
          <cell r="N34">
            <v>4649.2990384615377</v>
          </cell>
          <cell r="O34">
            <v>390.36089201183432</v>
          </cell>
          <cell r="P34">
            <v>0</v>
          </cell>
          <cell r="Q34">
            <v>19908.40549260355</v>
          </cell>
          <cell r="R34">
            <v>14</v>
          </cell>
          <cell r="S34" t="b">
            <v>0</v>
          </cell>
          <cell r="T34" t="b">
            <v>1</v>
          </cell>
          <cell r="U34" t="b">
            <v>0</v>
          </cell>
          <cell r="V34">
            <v>0</v>
          </cell>
          <cell r="W34" t="str">
            <v>off</v>
          </cell>
          <cell r="AA34">
            <v>390.36089201183432</v>
          </cell>
        </row>
        <row r="35">
          <cell r="C35" t="str">
            <v>Project Management</v>
          </cell>
          <cell r="D35" t="str">
            <v>vlab</v>
          </cell>
          <cell r="E35">
            <v>3</v>
          </cell>
          <cell r="F35" t="str">
            <v>imp</v>
          </cell>
          <cell r="G35" t="str">
            <v>veic</v>
          </cell>
          <cell r="H35" t="str">
            <v>SL</v>
          </cell>
          <cell r="I35" t="str">
            <v>HR</v>
          </cell>
          <cell r="J35">
            <v>24.359000000000002</v>
          </cell>
          <cell r="K35">
            <v>525.50961538461536</v>
          </cell>
          <cell r="L35">
            <v>12800.888721153846</v>
          </cell>
          <cell r="M35">
            <v>4096.2843907692304</v>
          </cell>
          <cell r="N35">
            <v>6673.9721153846149</v>
          </cell>
          <cell r="O35">
            <v>471.4229045461538</v>
          </cell>
          <cell r="P35">
            <v>0</v>
          </cell>
          <cell r="Q35">
            <v>24042.568131853845</v>
          </cell>
          <cell r="R35">
            <v>14</v>
          </cell>
          <cell r="S35" t="b">
            <v>0</v>
          </cell>
          <cell r="T35" t="b">
            <v>1</v>
          </cell>
          <cell r="U35" t="b">
            <v>0</v>
          </cell>
          <cell r="V35">
            <v>0</v>
          </cell>
          <cell r="W35" t="str">
            <v>off</v>
          </cell>
          <cell r="AA35">
            <v>471.4229045461538</v>
          </cell>
        </row>
        <row r="36">
          <cell r="C36" t="str">
            <v>Project Management</v>
          </cell>
          <cell r="D36" t="str">
            <v>vlab</v>
          </cell>
          <cell r="E36">
            <v>3</v>
          </cell>
          <cell r="F36" t="str">
            <v>imp</v>
          </cell>
          <cell r="G36" t="str">
            <v>veic</v>
          </cell>
          <cell r="H36" t="str">
            <v>AD</v>
          </cell>
          <cell r="I36" t="str">
            <v>HR</v>
          </cell>
          <cell r="J36">
            <v>20.513000000000002</v>
          </cell>
          <cell r="K36">
            <v>1051.0192307692307</v>
          </cell>
          <cell r="L36">
            <v>21559.557480769232</v>
          </cell>
          <cell r="M36">
            <v>6899.0583938461541</v>
          </cell>
          <cell r="N36">
            <v>13347.94423076923</v>
          </cell>
          <cell r="O36">
            <v>836.13120210769239</v>
          </cell>
          <cell r="P36">
            <v>0</v>
          </cell>
          <cell r="Q36">
            <v>42642.691307492314</v>
          </cell>
          <cell r="R36">
            <v>14</v>
          </cell>
          <cell r="S36" t="b">
            <v>0</v>
          </cell>
          <cell r="T36" t="b">
            <v>1</v>
          </cell>
          <cell r="U36" t="b">
            <v>0</v>
          </cell>
          <cell r="V36">
            <v>0</v>
          </cell>
          <cell r="W36" t="str">
            <v>off</v>
          </cell>
          <cell r="AA36">
            <v>836.13120210769239</v>
          </cell>
        </row>
        <row r="37">
          <cell r="C37" t="str">
            <v>Implementation work</v>
          </cell>
          <cell r="D37" t="str">
            <v>vlab</v>
          </cell>
          <cell r="E37">
            <v>3</v>
          </cell>
          <cell r="F37" t="str">
            <v>imp</v>
          </cell>
          <cell r="G37" t="str">
            <v>veic</v>
          </cell>
          <cell r="H37" t="str">
            <v>BK</v>
          </cell>
          <cell r="I37" t="str">
            <v>HR</v>
          </cell>
          <cell r="J37">
            <v>35.896999999999998</v>
          </cell>
          <cell r="K37">
            <v>209.5</v>
          </cell>
          <cell r="L37">
            <v>7520.4214999999995</v>
          </cell>
          <cell r="M37">
            <v>2406.5348799999997</v>
          </cell>
          <cell r="N37">
            <v>2660.6499999999996</v>
          </cell>
          <cell r="O37">
            <v>251.75212759999999</v>
          </cell>
          <cell r="P37">
            <v>0</v>
          </cell>
          <cell r="Q37">
            <v>12839.3585076</v>
          </cell>
          <cell r="R37">
            <v>14</v>
          </cell>
          <cell r="S37" t="b">
            <v>0</v>
          </cell>
          <cell r="T37" t="b">
            <v>1</v>
          </cell>
          <cell r="U37" t="b">
            <v>0</v>
          </cell>
          <cell r="V37">
            <v>0</v>
          </cell>
          <cell r="W37" t="str">
            <v>off</v>
          </cell>
          <cell r="AA37">
            <v>251.75212759999999</v>
          </cell>
        </row>
        <row r="38">
          <cell r="C38" t="str">
            <v>Project Management</v>
          </cell>
          <cell r="D38" t="str">
            <v>vlab</v>
          </cell>
          <cell r="E38">
            <v>3</v>
          </cell>
          <cell r="F38" t="str">
            <v>imp</v>
          </cell>
          <cell r="G38" t="str">
            <v>veic</v>
          </cell>
          <cell r="H38" t="str">
            <v>new PM1 (CEO/CIEM)</v>
          </cell>
          <cell r="I38" t="str">
            <v>HR</v>
          </cell>
          <cell r="J38">
            <v>25</v>
          </cell>
          <cell r="K38">
            <v>366.0865384615384</v>
          </cell>
          <cell r="L38">
            <v>9152.1634615384592</v>
          </cell>
          <cell r="M38">
            <v>2928.6923076923072</v>
          </cell>
          <cell r="N38">
            <v>4649.2990384615377</v>
          </cell>
          <cell r="O38">
            <v>334.60309615384608</v>
          </cell>
          <cell r="P38">
            <v>0</v>
          </cell>
          <cell r="Q38">
            <v>17064.757903846148</v>
          </cell>
          <cell r="R38">
            <v>14</v>
          </cell>
          <cell r="S38" t="b">
            <v>0</v>
          </cell>
          <cell r="T38" t="b">
            <v>1</v>
          </cell>
          <cell r="U38" t="b">
            <v>0</v>
          </cell>
          <cell r="V38">
            <v>0</v>
          </cell>
          <cell r="W38" t="str">
            <v>off</v>
          </cell>
          <cell r="AA38">
            <v>334.60309615384608</v>
          </cell>
        </row>
        <row r="39">
          <cell r="C39" t="str">
            <v>Project Management</v>
          </cell>
          <cell r="D39" t="str">
            <v>vlab</v>
          </cell>
          <cell r="E39">
            <v>3</v>
          </cell>
          <cell r="F39" t="str">
            <v>imp</v>
          </cell>
          <cell r="G39" t="str">
            <v>veic</v>
          </cell>
          <cell r="H39" t="str">
            <v>new PM2</v>
          </cell>
          <cell r="I39" t="str">
            <v>HR</v>
          </cell>
          <cell r="J39">
            <v>23.076923076923077</v>
          </cell>
          <cell r="K39">
            <v>565.53846153846155</v>
          </cell>
          <cell r="L39">
            <v>13050.887573964497</v>
          </cell>
          <cell r="M39">
            <v>4176.2840236686388</v>
          </cell>
          <cell r="N39">
            <v>7182.3384615384612</v>
          </cell>
          <cell r="O39">
            <v>488.19020118343195</v>
          </cell>
          <cell r="P39">
            <v>0</v>
          </cell>
          <cell r="Q39">
            <v>24897.700260355028</v>
          </cell>
          <cell r="R39">
            <v>14</v>
          </cell>
          <cell r="S39" t="b">
            <v>0</v>
          </cell>
          <cell r="T39" t="b">
            <v>1</v>
          </cell>
          <cell r="U39" t="b">
            <v>0</v>
          </cell>
          <cell r="V39">
            <v>0</v>
          </cell>
          <cell r="W39" t="str">
            <v>off</v>
          </cell>
          <cell r="AA39">
            <v>488.19020118343195</v>
          </cell>
        </row>
        <row r="40">
          <cell r="C40" t="str">
            <v>Assistant Project Management</v>
          </cell>
          <cell r="D40" t="str">
            <v>vlab</v>
          </cell>
          <cell r="E40">
            <v>3</v>
          </cell>
          <cell r="F40" t="str">
            <v>imp</v>
          </cell>
          <cell r="G40" t="str">
            <v>veic</v>
          </cell>
          <cell r="H40" t="str">
            <v>new APM</v>
          </cell>
          <cell r="I40" t="str">
            <v>HR</v>
          </cell>
          <cell r="J40">
            <v>17.948717948717949</v>
          </cell>
          <cell r="K40">
            <v>463.25</v>
          </cell>
          <cell r="L40">
            <v>8314.7435897435898</v>
          </cell>
          <cell r="M40">
            <v>2660.7179487179487</v>
          </cell>
          <cell r="N40">
            <v>5883.2749999999996</v>
          </cell>
          <cell r="O40">
            <v>337.17473076923079</v>
          </cell>
          <cell r="P40">
            <v>0</v>
          </cell>
          <cell r="Q40">
            <v>17195.911269230772</v>
          </cell>
          <cell r="R40">
            <v>14</v>
          </cell>
          <cell r="S40" t="b">
            <v>0</v>
          </cell>
          <cell r="T40" t="b">
            <v>1</v>
          </cell>
          <cell r="U40" t="b">
            <v>0</v>
          </cell>
          <cell r="V40">
            <v>0</v>
          </cell>
          <cell r="W40" t="str">
            <v>off</v>
          </cell>
          <cell r="AA40">
            <v>337.17473076923079</v>
          </cell>
        </row>
        <row r="41">
          <cell r="C41" t="str">
            <v>Tech tools development</v>
          </cell>
          <cell r="D41" t="str">
            <v>vlab</v>
          </cell>
          <cell r="E41">
            <v>3</v>
          </cell>
          <cell r="F41" t="str">
            <v>imp</v>
          </cell>
          <cell r="G41" t="str">
            <v>veic</v>
          </cell>
          <cell r="H41" t="str">
            <v>EBR</v>
          </cell>
          <cell r="I41" t="str">
            <v>HR</v>
          </cell>
          <cell r="J41">
            <v>21.82</v>
          </cell>
          <cell r="K41">
            <v>45</v>
          </cell>
          <cell r="L41">
            <v>981.9</v>
          </cell>
          <cell r="M41">
            <v>314.20800000000003</v>
          </cell>
          <cell r="N41">
            <v>571.5</v>
          </cell>
          <cell r="O41">
            <v>37.352159999999998</v>
          </cell>
          <cell r="P41">
            <v>0</v>
          </cell>
          <cell r="Q41">
            <v>1904.9601599999999</v>
          </cell>
          <cell r="R41">
            <v>14</v>
          </cell>
          <cell r="S41" t="b">
            <v>0</v>
          </cell>
          <cell r="T41" t="b">
            <v>1</v>
          </cell>
          <cell r="U41" t="b">
            <v>0</v>
          </cell>
          <cell r="V41">
            <v>0</v>
          </cell>
          <cell r="W41" t="str">
            <v>off</v>
          </cell>
          <cell r="AA41">
            <v>37.352159999999998</v>
          </cell>
        </row>
        <row r="42">
          <cell r="C42" t="str">
            <v>Specialist TA Booth</v>
          </cell>
          <cell r="D42" t="str">
            <v>sub</v>
          </cell>
          <cell r="E42">
            <v>3</v>
          </cell>
          <cell r="F42" t="str">
            <v>imp</v>
          </cell>
          <cell r="G42" t="str">
            <v>sb</v>
          </cell>
          <cell r="H42" t="str">
            <v>sb</v>
          </cell>
          <cell r="I42" t="str">
            <v>HR</v>
          </cell>
          <cell r="J42">
            <v>56.65</v>
          </cell>
          <cell r="K42">
            <v>1713</v>
          </cell>
          <cell r="L42">
            <v>97041.45</v>
          </cell>
          <cell r="M42">
            <v>0</v>
          </cell>
          <cell r="N42">
            <v>0</v>
          </cell>
          <cell r="O42">
            <v>0</v>
          </cell>
          <cell r="P42">
            <v>0</v>
          </cell>
          <cell r="Q42">
            <v>97041.45</v>
          </cell>
          <cell r="R42">
            <v>14</v>
          </cell>
          <cell r="S42" t="b">
            <v>0</v>
          </cell>
          <cell r="T42" t="b">
            <v>1</v>
          </cell>
          <cell r="U42" t="b">
            <v>0</v>
          </cell>
          <cell r="V42">
            <v>0</v>
          </cell>
          <cell r="W42" t="str">
            <v>off</v>
          </cell>
          <cell r="AA42">
            <v>0</v>
          </cell>
        </row>
        <row r="43">
          <cell r="C43" t="str">
            <v>DF transition</v>
          </cell>
          <cell r="D43" t="str">
            <v>vlab</v>
          </cell>
          <cell r="E43">
            <v>3</v>
          </cell>
          <cell r="F43" t="str">
            <v>imp</v>
          </cell>
          <cell r="G43" t="str">
            <v>veic</v>
          </cell>
          <cell r="H43" t="str">
            <v>JCR</v>
          </cell>
          <cell r="I43" t="str">
            <v>HR</v>
          </cell>
          <cell r="J43">
            <v>14.722</v>
          </cell>
          <cell r="K43">
            <v>81</v>
          </cell>
          <cell r="L43">
            <v>1192.482</v>
          </cell>
          <cell r="M43">
            <v>381.59424000000001</v>
          </cell>
          <cell r="N43">
            <v>1028.7</v>
          </cell>
          <cell r="O43">
            <v>52.055524800000001</v>
          </cell>
          <cell r="P43">
            <v>0</v>
          </cell>
          <cell r="Q43">
            <v>2654.8317648000002</v>
          </cell>
          <cell r="R43">
            <v>14</v>
          </cell>
          <cell r="S43" t="b">
            <v>0</v>
          </cell>
          <cell r="T43" t="b">
            <v>1</v>
          </cell>
          <cell r="U43" t="b">
            <v>0</v>
          </cell>
          <cell r="V43">
            <v>0</v>
          </cell>
          <cell r="W43" t="str">
            <v>off</v>
          </cell>
          <cell r="AA43">
            <v>52.055524800000001</v>
          </cell>
        </row>
        <row r="44">
          <cell r="C44" t="str">
            <v>Mike Raker</v>
          </cell>
          <cell r="D44" t="str">
            <v>SUB</v>
          </cell>
          <cell r="E44">
            <v>3</v>
          </cell>
          <cell r="F44" t="str">
            <v>imp</v>
          </cell>
          <cell r="G44" t="str">
            <v>os</v>
          </cell>
          <cell r="H44" t="str">
            <v>MRaker</v>
          </cell>
          <cell r="I44" t="str">
            <v>hr</v>
          </cell>
          <cell r="J44">
            <v>50</v>
          </cell>
          <cell r="K44">
            <v>750</v>
          </cell>
          <cell r="L44">
            <v>37500</v>
          </cell>
          <cell r="M44">
            <v>0</v>
          </cell>
          <cell r="N44">
            <v>0</v>
          </cell>
          <cell r="O44">
            <v>0</v>
          </cell>
          <cell r="P44">
            <v>0</v>
          </cell>
          <cell r="Q44">
            <v>37500</v>
          </cell>
          <cell r="R44">
            <v>14</v>
          </cell>
          <cell r="S44" t="b">
            <v>0</v>
          </cell>
          <cell r="T44" t="b">
            <v>1</v>
          </cell>
          <cell r="U44" t="b">
            <v>0</v>
          </cell>
          <cell r="V44">
            <v>0</v>
          </cell>
          <cell r="W44" t="str">
            <v>off</v>
          </cell>
          <cell r="AA44">
            <v>0</v>
          </cell>
        </row>
        <row r="45">
          <cell r="C45" t="str">
            <v>Mike Raker</v>
          </cell>
          <cell r="D45" t="str">
            <v>SUB</v>
          </cell>
          <cell r="E45">
            <v>3</v>
          </cell>
          <cell r="F45" t="str">
            <v>imp</v>
          </cell>
          <cell r="G45" t="str">
            <v>os</v>
          </cell>
          <cell r="H45" t="str">
            <v>MRaker</v>
          </cell>
          <cell r="I45" t="str">
            <v>hr</v>
          </cell>
          <cell r="J45">
            <v>60</v>
          </cell>
          <cell r="K45">
            <v>560</v>
          </cell>
          <cell r="L45">
            <v>33600</v>
          </cell>
          <cell r="M45">
            <v>0</v>
          </cell>
          <cell r="N45">
            <v>0</v>
          </cell>
          <cell r="O45">
            <v>0</v>
          </cell>
          <cell r="P45">
            <v>0</v>
          </cell>
          <cell r="Q45">
            <v>33600</v>
          </cell>
          <cell r="R45">
            <v>14</v>
          </cell>
          <cell r="S45" t="b">
            <v>0</v>
          </cell>
          <cell r="T45" t="b">
            <v>1</v>
          </cell>
          <cell r="U45" t="b">
            <v>0</v>
          </cell>
          <cell r="V45">
            <v>0</v>
          </cell>
          <cell r="W45" t="str">
            <v>off</v>
          </cell>
          <cell r="AA45">
            <v>0</v>
          </cell>
        </row>
        <row r="46">
          <cell r="C46" t="str">
            <v>Outside TA</v>
          </cell>
          <cell r="D46" t="str">
            <v>SUB</v>
          </cell>
          <cell r="E46">
            <v>3</v>
          </cell>
          <cell r="F46" t="str">
            <v>imp</v>
          </cell>
          <cell r="G46" t="str">
            <v>os</v>
          </cell>
          <cell r="H46" t="str">
            <v>outside TA</v>
          </cell>
          <cell r="I46" t="str">
            <v>HR</v>
          </cell>
          <cell r="J46">
            <v>100</v>
          </cell>
          <cell r="K46">
            <v>1000</v>
          </cell>
          <cell r="L46">
            <v>100000</v>
          </cell>
          <cell r="M46">
            <v>0</v>
          </cell>
          <cell r="N46">
            <v>0</v>
          </cell>
          <cell r="O46">
            <v>0</v>
          </cell>
          <cell r="P46">
            <v>0</v>
          </cell>
          <cell r="Q46">
            <v>100000</v>
          </cell>
          <cell r="R46">
            <v>14</v>
          </cell>
          <cell r="S46" t="b">
            <v>0</v>
          </cell>
          <cell r="T46" t="b">
            <v>1</v>
          </cell>
          <cell r="U46" t="b">
            <v>0</v>
          </cell>
          <cell r="V46">
            <v>0</v>
          </cell>
          <cell r="W46" t="str">
            <v>off</v>
          </cell>
          <cell r="AA46">
            <v>0</v>
          </cell>
        </row>
        <row r="47">
          <cell r="C47" t="str">
            <v>Comp. Track Assistance</v>
          </cell>
          <cell r="D47" t="str">
            <v>SUB</v>
          </cell>
          <cell r="E47">
            <v>3</v>
          </cell>
          <cell r="F47" t="str">
            <v>imp</v>
          </cell>
          <cell r="G47" t="str">
            <v>os</v>
          </cell>
          <cell r="H47" t="str">
            <v>BR</v>
          </cell>
          <cell r="I47" t="str">
            <v>HR</v>
          </cell>
          <cell r="J47">
            <v>74</v>
          </cell>
          <cell r="K47">
            <v>173</v>
          </cell>
          <cell r="L47">
            <v>12802</v>
          </cell>
          <cell r="M47">
            <v>0</v>
          </cell>
          <cell r="N47">
            <v>0</v>
          </cell>
          <cell r="O47">
            <v>0</v>
          </cell>
          <cell r="P47">
            <v>0</v>
          </cell>
          <cell r="Q47">
            <v>12802</v>
          </cell>
          <cell r="R47">
            <v>14</v>
          </cell>
          <cell r="S47" t="b">
            <v>0</v>
          </cell>
          <cell r="T47" t="b">
            <v>1</v>
          </cell>
          <cell r="U47" t="b">
            <v>0</v>
          </cell>
          <cell r="V47">
            <v>0</v>
          </cell>
          <cell r="W47" t="str">
            <v>off</v>
          </cell>
          <cell r="AA47">
            <v>0</v>
          </cell>
        </row>
        <row r="48">
          <cell r="C48" t="str">
            <v>SEMP</v>
          </cell>
          <cell r="D48" t="str">
            <v>sub</v>
          </cell>
          <cell r="E48">
            <v>3</v>
          </cell>
          <cell r="F48" t="str">
            <v>imp</v>
          </cell>
          <cell r="G48" t="str">
            <v>os</v>
          </cell>
          <cell r="H48" t="str">
            <v>JS</v>
          </cell>
          <cell r="I48" t="str">
            <v>HR</v>
          </cell>
          <cell r="J48">
            <v>45</v>
          </cell>
          <cell r="K48">
            <v>85</v>
          </cell>
          <cell r="L48">
            <v>3825</v>
          </cell>
          <cell r="M48">
            <v>0</v>
          </cell>
          <cell r="N48">
            <v>0</v>
          </cell>
          <cell r="O48">
            <v>0</v>
          </cell>
          <cell r="P48">
            <v>0</v>
          </cell>
          <cell r="Q48">
            <v>3825</v>
          </cell>
          <cell r="R48">
            <v>14</v>
          </cell>
          <cell r="S48" t="b">
            <v>0</v>
          </cell>
          <cell r="T48" t="b">
            <v>1</v>
          </cell>
          <cell r="U48" t="b">
            <v>0</v>
          </cell>
          <cell r="V48">
            <v>0</v>
          </cell>
          <cell r="W48" t="str">
            <v>off</v>
          </cell>
          <cell r="AA48">
            <v>0</v>
          </cell>
        </row>
        <row r="49">
          <cell r="C49" t="str">
            <v>Outside TA-Tom Anderson</v>
          </cell>
          <cell r="D49" t="str">
            <v>sub</v>
          </cell>
          <cell r="E49">
            <v>3</v>
          </cell>
          <cell r="F49" t="str">
            <v>imp</v>
          </cell>
          <cell r="G49" t="str">
            <v>os</v>
          </cell>
          <cell r="H49" t="str">
            <v>TA</v>
          </cell>
          <cell r="I49" t="str">
            <v>HR</v>
          </cell>
          <cell r="J49">
            <v>75</v>
          </cell>
          <cell r="K49">
            <v>600</v>
          </cell>
          <cell r="L49">
            <v>45000</v>
          </cell>
          <cell r="M49">
            <v>0</v>
          </cell>
          <cell r="N49">
            <v>0</v>
          </cell>
          <cell r="O49">
            <v>0</v>
          </cell>
          <cell r="P49">
            <v>0</v>
          </cell>
          <cell r="Q49">
            <v>45000</v>
          </cell>
          <cell r="R49">
            <v>14</v>
          </cell>
          <cell r="S49" t="b">
            <v>0</v>
          </cell>
          <cell r="T49" t="b">
            <v>1</v>
          </cell>
          <cell r="U49" t="b">
            <v>0</v>
          </cell>
          <cell r="V49">
            <v>0</v>
          </cell>
          <cell r="W49" t="str">
            <v>off</v>
          </cell>
          <cell r="AA49">
            <v>0</v>
          </cell>
        </row>
        <row r="50">
          <cell r="C50" t="str">
            <v>Outside TA-Donna Leban</v>
          </cell>
          <cell r="D50" t="str">
            <v>sub</v>
          </cell>
          <cell r="E50">
            <v>3</v>
          </cell>
          <cell r="F50" t="str">
            <v>imp</v>
          </cell>
          <cell r="G50" t="str">
            <v>os</v>
          </cell>
          <cell r="H50" t="str">
            <v>DL</v>
          </cell>
          <cell r="I50" t="str">
            <v>HR</v>
          </cell>
          <cell r="J50">
            <v>65</v>
          </cell>
          <cell r="K50">
            <v>580</v>
          </cell>
          <cell r="L50">
            <v>37700</v>
          </cell>
          <cell r="M50">
            <v>0</v>
          </cell>
          <cell r="N50">
            <v>0</v>
          </cell>
          <cell r="O50">
            <v>0</v>
          </cell>
          <cell r="P50">
            <v>0</v>
          </cell>
          <cell r="Q50">
            <v>37700</v>
          </cell>
          <cell r="R50">
            <v>14</v>
          </cell>
          <cell r="S50" t="b">
            <v>0</v>
          </cell>
          <cell r="T50" t="b">
            <v>1</v>
          </cell>
          <cell r="U50" t="b">
            <v>0</v>
          </cell>
          <cell r="V50">
            <v>0</v>
          </cell>
          <cell r="W50" t="str">
            <v>off</v>
          </cell>
          <cell r="AA50">
            <v>0</v>
          </cell>
        </row>
        <row r="51">
          <cell r="C51" t="str">
            <v>Cathy Reynolds</v>
          </cell>
          <cell r="D51" t="str">
            <v>SUB</v>
          </cell>
          <cell r="E51">
            <v>3</v>
          </cell>
          <cell r="F51" t="str">
            <v>imp</v>
          </cell>
          <cell r="G51" t="str">
            <v>os</v>
          </cell>
          <cell r="H51" t="str">
            <v>CR</v>
          </cell>
          <cell r="I51" t="str">
            <v>HR</v>
          </cell>
          <cell r="J51">
            <v>42</v>
          </cell>
          <cell r="K51">
            <v>336</v>
          </cell>
          <cell r="L51">
            <v>14112</v>
          </cell>
          <cell r="M51">
            <v>0</v>
          </cell>
          <cell r="N51">
            <v>0</v>
          </cell>
          <cell r="O51">
            <v>0</v>
          </cell>
          <cell r="P51">
            <v>0</v>
          </cell>
          <cell r="Q51">
            <v>14112</v>
          </cell>
          <cell r="R51">
            <v>14</v>
          </cell>
          <cell r="S51" t="b">
            <v>0</v>
          </cell>
          <cell r="T51" t="b">
            <v>1</v>
          </cell>
          <cell r="U51" t="b">
            <v>0</v>
          </cell>
          <cell r="V51">
            <v>0</v>
          </cell>
          <cell r="W51" t="str">
            <v>off</v>
          </cell>
          <cell r="AA51">
            <v>0</v>
          </cell>
        </row>
        <row r="52">
          <cell r="C52" t="str">
            <v>Tech Assistance-BES Demo Project</v>
          </cell>
          <cell r="D52" t="str">
            <v>SUB</v>
          </cell>
          <cell r="E52">
            <v>3</v>
          </cell>
          <cell r="F52" t="str">
            <v>imp</v>
          </cell>
          <cell r="G52" t="str">
            <v>os</v>
          </cell>
          <cell r="I52" t="str">
            <v>HR</v>
          </cell>
          <cell r="J52">
            <v>100</v>
          </cell>
          <cell r="K52">
            <v>160</v>
          </cell>
          <cell r="L52">
            <v>16000</v>
          </cell>
          <cell r="M52">
            <v>0</v>
          </cell>
          <cell r="N52">
            <v>0</v>
          </cell>
          <cell r="O52">
            <v>0</v>
          </cell>
          <cell r="P52">
            <v>0</v>
          </cell>
          <cell r="Q52">
            <v>16000</v>
          </cell>
          <cell r="R52">
            <v>14</v>
          </cell>
          <cell r="S52" t="b">
            <v>0</v>
          </cell>
          <cell r="T52" t="b">
            <v>1</v>
          </cell>
          <cell r="U52" t="b">
            <v>0</v>
          </cell>
          <cell r="V52">
            <v>0</v>
          </cell>
          <cell r="W52" t="str">
            <v>off</v>
          </cell>
          <cell r="AA52">
            <v>0</v>
          </cell>
        </row>
        <row r="53">
          <cell r="C53" t="str">
            <v>Training Expense</v>
          </cell>
          <cell r="D53" t="str">
            <v>odc</v>
          </cell>
          <cell r="E53">
            <v>3</v>
          </cell>
          <cell r="F53" t="str">
            <v>ADMIN</v>
          </cell>
          <cell r="I53" t="str">
            <v>ea</v>
          </cell>
          <cell r="J53">
            <v>6500</v>
          </cell>
          <cell r="K53">
            <v>2</v>
          </cell>
          <cell r="L53">
            <v>13000</v>
          </cell>
          <cell r="M53">
            <v>0</v>
          </cell>
          <cell r="N53">
            <v>0</v>
          </cell>
          <cell r="O53">
            <v>0</v>
          </cell>
          <cell r="P53">
            <v>0</v>
          </cell>
          <cell r="Q53">
            <v>13000</v>
          </cell>
          <cell r="R53">
            <v>14</v>
          </cell>
          <cell r="S53" t="b">
            <v>0</v>
          </cell>
          <cell r="T53" t="b">
            <v>1</v>
          </cell>
          <cell r="U53" t="b">
            <v>0</v>
          </cell>
          <cell r="V53">
            <v>0</v>
          </cell>
          <cell r="W53" t="str">
            <v>off</v>
          </cell>
          <cell r="AA53">
            <v>0</v>
          </cell>
        </row>
        <row r="54">
          <cell r="C54" t="str">
            <v>Staff Development</v>
          </cell>
          <cell r="D54" t="str">
            <v>odc</v>
          </cell>
          <cell r="E54">
            <v>3</v>
          </cell>
          <cell r="F54" t="str">
            <v>ADMIN</v>
          </cell>
          <cell r="I54" t="str">
            <v>ea</v>
          </cell>
          <cell r="J54">
            <v>2500</v>
          </cell>
          <cell r="K54">
            <v>10</v>
          </cell>
          <cell r="L54">
            <v>25000</v>
          </cell>
          <cell r="M54">
            <v>0</v>
          </cell>
          <cell r="N54">
            <v>0</v>
          </cell>
          <cell r="O54">
            <v>0</v>
          </cell>
          <cell r="P54">
            <v>0</v>
          </cell>
          <cell r="Q54">
            <v>25000</v>
          </cell>
          <cell r="R54">
            <v>14</v>
          </cell>
          <cell r="S54" t="b">
            <v>0</v>
          </cell>
          <cell r="T54" t="b">
            <v>1</v>
          </cell>
          <cell r="U54" t="b">
            <v>0</v>
          </cell>
          <cell r="V54">
            <v>0</v>
          </cell>
          <cell r="W54" t="str">
            <v>off</v>
          </cell>
          <cell r="AA54">
            <v>0</v>
          </cell>
        </row>
        <row r="55">
          <cell r="C55" t="str">
            <v>Travel</v>
          </cell>
          <cell r="D55" t="str">
            <v>TR</v>
          </cell>
          <cell r="E55">
            <v>3</v>
          </cell>
          <cell r="F55" t="str">
            <v>imp</v>
          </cell>
          <cell r="G55" t="str">
            <v>veic</v>
          </cell>
          <cell r="I55" t="str">
            <v>ea</v>
          </cell>
          <cell r="J55">
            <v>0.36499999999999999</v>
          </cell>
          <cell r="K55">
            <v>55000</v>
          </cell>
          <cell r="L55">
            <v>20075</v>
          </cell>
          <cell r="M55">
            <v>0</v>
          </cell>
          <cell r="N55">
            <v>0</v>
          </cell>
          <cell r="O55">
            <v>0</v>
          </cell>
          <cell r="P55">
            <v>0</v>
          </cell>
          <cell r="Q55">
            <v>20075</v>
          </cell>
          <cell r="R55">
            <v>14</v>
          </cell>
          <cell r="S55" t="b">
            <v>0</v>
          </cell>
          <cell r="T55" t="b">
            <v>1</v>
          </cell>
          <cell r="U55" t="b">
            <v>0</v>
          </cell>
          <cell r="V55">
            <v>0</v>
          </cell>
          <cell r="W55" t="str">
            <v>off</v>
          </cell>
          <cell r="AA55">
            <v>0</v>
          </cell>
        </row>
        <row r="56">
          <cell r="C56" t="str">
            <v>NEEP Initiative particip</v>
          </cell>
          <cell r="D56" t="str">
            <v>SUB</v>
          </cell>
          <cell r="E56">
            <v>3</v>
          </cell>
          <cell r="F56" t="str">
            <v>imp</v>
          </cell>
          <cell r="G56" t="str">
            <v>NEEP</v>
          </cell>
          <cell r="I56" t="str">
            <v>ea</v>
          </cell>
          <cell r="J56">
            <v>6190.9157157032996</v>
          </cell>
          <cell r="K56">
            <v>1</v>
          </cell>
          <cell r="L56">
            <v>6190.9157157032996</v>
          </cell>
          <cell r="M56">
            <v>0</v>
          </cell>
          <cell r="N56">
            <v>0</v>
          </cell>
          <cell r="O56">
            <v>0</v>
          </cell>
          <cell r="P56">
            <v>0</v>
          </cell>
          <cell r="Q56">
            <v>6190.9157157032996</v>
          </cell>
          <cell r="R56">
            <v>14</v>
          </cell>
          <cell r="S56" t="b">
            <v>0</v>
          </cell>
          <cell r="T56" t="b">
            <v>1</v>
          </cell>
          <cell r="U56" t="b">
            <v>0</v>
          </cell>
          <cell r="V56">
            <v>0</v>
          </cell>
          <cell r="W56" t="str">
            <v>off</v>
          </cell>
          <cell r="AA56">
            <v>0</v>
          </cell>
        </row>
        <row r="57">
          <cell r="C57" t="str">
            <v>Cool Choice participation</v>
          </cell>
          <cell r="D57" t="str">
            <v>SUB</v>
          </cell>
          <cell r="E57">
            <v>3</v>
          </cell>
          <cell r="F57" t="str">
            <v>imp</v>
          </cell>
          <cell r="G57" t="str">
            <v>NEEP</v>
          </cell>
          <cell r="H57" t="str">
            <v>McGrann</v>
          </cell>
          <cell r="I57" t="str">
            <v>ea</v>
          </cell>
          <cell r="J57">
            <v>32000</v>
          </cell>
          <cell r="K57">
            <v>1</v>
          </cell>
          <cell r="L57">
            <v>32000</v>
          </cell>
          <cell r="M57">
            <v>0</v>
          </cell>
          <cell r="N57">
            <v>0</v>
          </cell>
          <cell r="O57">
            <v>0</v>
          </cell>
          <cell r="P57">
            <v>0</v>
          </cell>
          <cell r="Q57">
            <v>32000</v>
          </cell>
          <cell r="R57">
            <v>14</v>
          </cell>
          <cell r="S57" t="b">
            <v>0</v>
          </cell>
          <cell r="T57" t="b">
            <v>1</v>
          </cell>
          <cell r="U57" t="b">
            <v>0</v>
          </cell>
          <cell r="V57">
            <v>0</v>
          </cell>
          <cell r="W57" t="str">
            <v>off</v>
          </cell>
          <cell r="AA57">
            <v>0</v>
          </cell>
        </row>
        <row r="58">
          <cell r="C58" t="str">
            <v>High Efficiency Motors</v>
          </cell>
          <cell r="D58" t="str">
            <v>SUB</v>
          </cell>
          <cell r="E58">
            <v>3</v>
          </cell>
          <cell r="F58" t="str">
            <v>imp</v>
          </cell>
          <cell r="G58" t="str">
            <v>NEEP</v>
          </cell>
          <cell r="H58" t="str">
            <v>APT</v>
          </cell>
          <cell r="I58" t="str">
            <v>ea</v>
          </cell>
          <cell r="J58">
            <v>20000</v>
          </cell>
          <cell r="K58">
            <v>1</v>
          </cell>
          <cell r="L58">
            <v>20000</v>
          </cell>
          <cell r="M58">
            <v>0</v>
          </cell>
          <cell r="N58">
            <v>0</v>
          </cell>
          <cell r="O58">
            <v>0</v>
          </cell>
          <cell r="P58">
            <v>0</v>
          </cell>
          <cell r="Q58">
            <v>20000</v>
          </cell>
          <cell r="R58">
            <v>14</v>
          </cell>
          <cell r="S58" t="b">
            <v>0</v>
          </cell>
          <cell r="T58" t="b">
            <v>1</v>
          </cell>
          <cell r="U58" t="b">
            <v>0</v>
          </cell>
          <cell r="V58">
            <v>0</v>
          </cell>
          <cell r="W58" t="str">
            <v>off</v>
          </cell>
          <cell r="AA58">
            <v>0</v>
          </cell>
        </row>
        <row r="59">
          <cell r="C59" t="str">
            <v>Builder Conference staff time</v>
          </cell>
          <cell r="D59" t="str">
            <v>vlab</v>
          </cell>
          <cell r="E59">
            <v>3</v>
          </cell>
          <cell r="F59" t="str">
            <v>ADMIN</v>
          </cell>
          <cell r="G59" t="str">
            <v>veic</v>
          </cell>
          <cell r="H59" t="str">
            <v>various</v>
          </cell>
          <cell r="I59" t="str">
            <v>HR</v>
          </cell>
          <cell r="J59">
            <v>23.168876811594203</v>
          </cell>
          <cell r="K59">
            <v>-110</v>
          </cell>
          <cell r="L59">
            <v>-2548.5764492753624</v>
          </cell>
          <cell r="M59">
            <v>-815.54446376811597</v>
          </cell>
          <cell r="N59">
            <v>-1397</v>
          </cell>
          <cell r="O59">
            <v>-95.22241826086956</v>
          </cell>
          <cell r="P59">
            <v>0</v>
          </cell>
          <cell r="Q59">
            <v>-4856.3433313043479</v>
          </cell>
          <cell r="R59">
            <v>14</v>
          </cell>
          <cell r="S59" t="b">
            <v>0</v>
          </cell>
          <cell r="T59" t="b">
            <v>1</v>
          </cell>
          <cell r="U59" t="b">
            <v>0</v>
          </cell>
          <cell r="V59">
            <v>0</v>
          </cell>
          <cell r="W59" t="str">
            <v>off</v>
          </cell>
          <cell r="AA59">
            <v>-95.22241826086956</v>
          </cell>
        </row>
        <row r="60">
          <cell r="C60" t="str">
            <v>Misc exp, copying etc</v>
          </cell>
          <cell r="D60" t="str">
            <v>odc</v>
          </cell>
          <cell r="E60">
            <v>3</v>
          </cell>
          <cell r="F60" t="str">
            <v>ADMIN</v>
          </cell>
          <cell r="G60" t="str">
            <v>veic</v>
          </cell>
          <cell r="I60" t="str">
            <v>ea</v>
          </cell>
          <cell r="J60">
            <v>15</v>
          </cell>
          <cell r="K60">
            <v>1000</v>
          </cell>
          <cell r="L60">
            <v>15000</v>
          </cell>
          <cell r="M60">
            <v>0</v>
          </cell>
          <cell r="N60">
            <v>0</v>
          </cell>
          <cell r="O60">
            <v>0</v>
          </cell>
          <cell r="P60">
            <v>0</v>
          </cell>
          <cell r="Q60">
            <v>15000</v>
          </cell>
          <cell r="R60">
            <v>14</v>
          </cell>
          <cell r="S60" t="b">
            <v>0</v>
          </cell>
          <cell r="T60" t="b">
            <v>1</v>
          </cell>
          <cell r="U60" t="b">
            <v>0</v>
          </cell>
          <cell r="V60">
            <v>0</v>
          </cell>
          <cell r="W60" t="str">
            <v>off</v>
          </cell>
          <cell r="AA60">
            <v>0</v>
          </cell>
        </row>
        <row r="61">
          <cell r="C61" t="str">
            <v>Incentives (H&amp;S) BES Demo Proj</v>
          </cell>
          <cell r="D61" t="str">
            <v>MC</v>
          </cell>
          <cell r="E61">
            <v>3</v>
          </cell>
          <cell r="F61" t="str">
            <v>imp</v>
          </cell>
          <cell r="G61" t="str">
            <v>veic</v>
          </cell>
          <cell r="I61" t="str">
            <v>ea</v>
          </cell>
          <cell r="J61">
            <v>60000</v>
          </cell>
          <cell r="K61">
            <v>1</v>
          </cell>
          <cell r="L61">
            <v>60000</v>
          </cell>
          <cell r="M61">
            <v>0</v>
          </cell>
          <cell r="N61">
            <v>0</v>
          </cell>
          <cell r="O61">
            <v>0</v>
          </cell>
          <cell r="P61">
            <v>0</v>
          </cell>
          <cell r="Q61">
            <v>60000</v>
          </cell>
          <cell r="R61">
            <v>14</v>
          </cell>
          <cell r="S61" t="b">
            <v>0</v>
          </cell>
          <cell r="T61" t="b">
            <v>1</v>
          </cell>
          <cell r="U61" t="b">
            <v>0</v>
          </cell>
          <cell r="V61">
            <v>0</v>
          </cell>
          <cell r="W61" t="str">
            <v>off</v>
          </cell>
          <cell r="AA61">
            <v>0</v>
          </cell>
        </row>
        <row r="62">
          <cell r="C62" t="str">
            <v>Incentives (Daylight) BES Demo Proj</v>
          </cell>
          <cell r="D62" t="str">
            <v>MC</v>
          </cell>
          <cell r="E62">
            <v>3</v>
          </cell>
          <cell r="F62" t="str">
            <v>imp</v>
          </cell>
          <cell r="G62" t="str">
            <v>veic</v>
          </cell>
          <cell r="I62" t="str">
            <v>ea</v>
          </cell>
          <cell r="J62">
            <v>50000</v>
          </cell>
          <cell r="K62">
            <v>1</v>
          </cell>
          <cell r="L62">
            <v>50000</v>
          </cell>
          <cell r="M62">
            <v>0</v>
          </cell>
          <cell r="N62">
            <v>0</v>
          </cell>
          <cell r="O62">
            <v>0</v>
          </cell>
          <cell r="P62">
            <v>0</v>
          </cell>
          <cell r="Q62">
            <v>50000</v>
          </cell>
          <cell r="R62">
            <v>14</v>
          </cell>
          <cell r="S62" t="b">
            <v>0</v>
          </cell>
          <cell r="T62" t="b">
            <v>1</v>
          </cell>
          <cell r="U62" t="b">
            <v>0</v>
          </cell>
          <cell r="V62">
            <v>0</v>
          </cell>
          <cell r="W62" t="str">
            <v>off</v>
          </cell>
          <cell r="AA62">
            <v>0</v>
          </cell>
        </row>
        <row r="63">
          <cell r="C63" t="str">
            <v>Incentives (Water) BES Demo Proj</v>
          </cell>
          <cell r="D63" t="str">
            <v>MC</v>
          </cell>
          <cell r="E63">
            <v>3</v>
          </cell>
          <cell r="F63" t="str">
            <v>imp</v>
          </cell>
          <cell r="G63" t="str">
            <v>veic</v>
          </cell>
          <cell r="I63" t="str">
            <v>ea</v>
          </cell>
          <cell r="J63">
            <v>20000</v>
          </cell>
          <cell r="K63">
            <v>3</v>
          </cell>
          <cell r="L63">
            <v>60000</v>
          </cell>
          <cell r="M63">
            <v>0</v>
          </cell>
          <cell r="N63">
            <v>0</v>
          </cell>
          <cell r="O63">
            <v>0</v>
          </cell>
          <cell r="P63">
            <v>0</v>
          </cell>
          <cell r="Q63">
            <v>60000</v>
          </cell>
          <cell r="R63">
            <v>14</v>
          </cell>
          <cell r="S63" t="b">
            <v>0</v>
          </cell>
          <cell r="T63" t="b">
            <v>1</v>
          </cell>
          <cell r="U63" t="b">
            <v>0</v>
          </cell>
          <cell r="V63">
            <v>0</v>
          </cell>
          <cell r="W63" t="str">
            <v>off</v>
          </cell>
          <cell r="AA63">
            <v>0</v>
          </cell>
        </row>
        <row r="64">
          <cell r="C64" t="str">
            <v>Incentives (Other) BES Demo Proj</v>
          </cell>
          <cell r="D64" t="str">
            <v>MC</v>
          </cell>
          <cell r="E64">
            <v>3</v>
          </cell>
          <cell r="F64" t="str">
            <v>imp</v>
          </cell>
          <cell r="G64" t="str">
            <v>veic</v>
          </cell>
          <cell r="I64" t="str">
            <v>ea</v>
          </cell>
          <cell r="J64">
            <v>40000</v>
          </cell>
          <cell r="K64">
            <v>1</v>
          </cell>
          <cell r="L64">
            <v>40000</v>
          </cell>
          <cell r="M64">
            <v>0</v>
          </cell>
          <cell r="N64">
            <v>0</v>
          </cell>
          <cell r="O64">
            <v>0</v>
          </cell>
          <cell r="P64">
            <v>0</v>
          </cell>
          <cell r="Q64">
            <v>40000</v>
          </cell>
          <cell r="R64">
            <v>14</v>
          </cell>
          <cell r="S64" t="b">
            <v>0</v>
          </cell>
          <cell r="T64" t="b">
            <v>1</v>
          </cell>
          <cell r="U64" t="b">
            <v>0</v>
          </cell>
          <cell r="V64">
            <v>0</v>
          </cell>
          <cell r="W64" t="str">
            <v>off</v>
          </cell>
          <cell r="AA64">
            <v>0</v>
          </cell>
        </row>
        <row r="65">
          <cell r="C65" t="str">
            <v>Incentives Majors</v>
          </cell>
          <cell r="D65" t="str">
            <v>MC</v>
          </cell>
          <cell r="E65">
            <v>3</v>
          </cell>
          <cell r="F65" t="str">
            <v>imp</v>
          </cell>
          <cell r="G65" t="str">
            <v>veic</v>
          </cell>
          <cell r="I65" t="str">
            <v>ea</v>
          </cell>
          <cell r="J65">
            <v>75</v>
          </cell>
          <cell r="K65">
            <v>7500</v>
          </cell>
          <cell r="L65">
            <v>562500</v>
          </cell>
          <cell r="M65">
            <v>0</v>
          </cell>
          <cell r="N65">
            <v>0</v>
          </cell>
          <cell r="O65">
            <v>0</v>
          </cell>
          <cell r="P65">
            <v>0</v>
          </cell>
          <cell r="Q65">
            <v>562500</v>
          </cell>
          <cell r="R65">
            <v>14</v>
          </cell>
          <cell r="S65" t="b">
            <v>0</v>
          </cell>
          <cell r="T65" t="b">
            <v>1</v>
          </cell>
          <cell r="U65" t="b">
            <v>0</v>
          </cell>
          <cell r="V65">
            <v>0</v>
          </cell>
          <cell r="W65" t="str">
            <v>off</v>
          </cell>
          <cell r="AA65">
            <v>0</v>
          </cell>
        </row>
        <row r="66">
          <cell r="C66" t="str">
            <v>Incentives other</v>
          </cell>
          <cell r="D66" t="str">
            <v>MC</v>
          </cell>
          <cell r="E66">
            <v>3</v>
          </cell>
          <cell r="F66" t="str">
            <v>imp</v>
          </cell>
          <cell r="G66" t="str">
            <v>veic</v>
          </cell>
          <cell r="I66" t="str">
            <v>ea</v>
          </cell>
          <cell r="J66">
            <v>65.41353383458646</v>
          </cell>
          <cell r="K66">
            <v>6650</v>
          </cell>
          <cell r="L66">
            <v>434999.99999999994</v>
          </cell>
          <cell r="M66">
            <v>0</v>
          </cell>
          <cell r="N66">
            <v>0</v>
          </cell>
          <cell r="O66">
            <v>0</v>
          </cell>
          <cell r="P66">
            <v>0</v>
          </cell>
          <cell r="Q66">
            <v>434999.99999999994</v>
          </cell>
          <cell r="R66">
            <v>14</v>
          </cell>
          <cell r="S66" t="b">
            <v>0</v>
          </cell>
          <cell r="T66" t="b">
            <v>1</v>
          </cell>
          <cell r="U66" t="b">
            <v>0</v>
          </cell>
          <cell r="V66">
            <v>0</v>
          </cell>
          <cell r="W66" t="str">
            <v>off</v>
          </cell>
          <cell r="AA66">
            <v>0</v>
          </cell>
        </row>
        <row r="67">
          <cell r="C67" t="str">
            <v>Metering studies</v>
          </cell>
          <cell r="D67" t="str">
            <v>sub</v>
          </cell>
          <cell r="E67">
            <v>3</v>
          </cell>
          <cell r="F67" t="str">
            <v>imp</v>
          </cell>
          <cell r="G67" t="str">
            <v>os</v>
          </cell>
          <cell r="H67" t="str">
            <v>Mike's meter</v>
          </cell>
          <cell r="I67" t="str">
            <v>ea</v>
          </cell>
          <cell r="J67">
            <v>2500</v>
          </cell>
          <cell r="K67">
            <v>5</v>
          </cell>
          <cell r="L67">
            <v>12500</v>
          </cell>
          <cell r="M67">
            <v>0</v>
          </cell>
          <cell r="N67">
            <v>0</v>
          </cell>
          <cell r="O67">
            <v>0</v>
          </cell>
          <cell r="P67">
            <v>0</v>
          </cell>
          <cell r="Q67">
            <v>12500</v>
          </cell>
          <cell r="R67">
            <v>14</v>
          </cell>
          <cell r="S67" t="b">
            <v>0</v>
          </cell>
          <cell r="T67" t="b">
            <v>1</v>
          </cell>
          <cell r="U67" t="b">
            <v>0</v>
          </cell>
          <cell r="V67">
            <v>0</v>
          </cell>
          <cell r="W67" t="str">
            <v>off</v>
          </cell>
          <cell r="AA67">
            <v>0</v>
          </cell>
        </row>
        <row r="68">
          <cell r="C68" t="str">
            <v>Tools - Equipment</v>
          </cell>
          <cell r="D68" t="str">
            <v>odc</v>
          </cell>
          <cell r="E68">
            <v>3</v>
          </cell>
          <cell r="F68" t="str">
            <v>imp</v>
          </cell>
          <cell r="G68" t="str">
            <v>veic</v>
          </cell>
          <cell r="I68" t="str">
            <v>ea</v>
          </cell>
          <cell r="J68">
            <v>15000</v>
          </cell>
          <cell r="K68">
            <v>1</v>
          </cell>
          <cell r="L68">
            <v>15000</v>
          </cell>
          <cell r="M68">
            <v>0</v>
          </cell>
          <cell r="N68">
            <v>0</v>
          </cell>
          <cell r="O68">
            <v>0</v>
          </cell>
          <cell r="P68">
            <v>0</v>
          </cell>
          <cell r="Q68">
            <v>15000</v>
          </cell>
          <cell r="R68">
            <v>14</v>
          </cell>
          <cell r="S68" t="b">
            <v>0</v>
          </cell>
          <cell r="T68" t="b">
            <v>1</v>
          </cell>
          <cell r="U68" t="b">
            <v>0</v>
          </cell>
          <cell r="V68">
            <v>0</v>
          </cell>
          <cell r="W68" t="str">
            <v>off</v>
          </cell>
          <cell r="AA68">
            <v>0</v>
          </cell>
        </row>
        <row r="69">
          <cell r="L69">
            <v>0</v>
          </cell>
          <cell r="M69">
            <v>0</v>
          </cell>
          <cell r="N69">
            <v>0</v>
          </cell>
          <cell r="O69">
            <v>0</v>
          </cell>
          <cell r="P69">
            <v>0</v>
          </cell>
          <cell r="Q69">
            <v>0</v>
          </cell>
          <cell r="R69">
            <v>14</v>
          </cell>
          <cell r="S69" t="b">
            <v>0</v>
          </cell>
          <cell r="T69" t="b">
            <v>0</v>
          </cell>
          <cell r="U69" t="b">
            <v>0</v>
          </cell>
          <cell r="V69">
            <v>0</v>
          </cell>
          <cell r="W69" t="str">
            <v>off</v>
          </cell>
          <cell r="AA69">
            <v>0</v>
          </cell>
        </row>
        <row r="70">
          <cell r="C70" t="str">
            <v>WORK AREA</v>
          </cell>
          <cell r="L70">
            <v>0</v>
          </cell>
          <cell r="M70">
            <v>0</v>
          </cell>
          <cell r="N70">
            <v>0</v>
          </cell>
          <cell r="O70">
            <v>0</v>
          </cell>
          <cell r="P70">
            <v>0</v>
          </cell>
          <cell r="Q70">
            <v>0</v>
          </cell>
          <cell r="R70">
            <v>14</v>
          </cell>
          <cell r="S70" t="b">
            <v>0</v>
          </cell>
          <cell r="T70" t="b">
            <v>0</v>
          </cell>
          <cell r="U70" t="b">
            <v>0</v>
          </cell>
          <cell r="V70">
            <v>0</v>
          </cell>
          <cell r="W70" t="str">
            <v>off</v>
          </cell>
          <cell r="AA70">
            <v>0</v>
          </cell>
        </row>
        <row r="71">
          <cell r="L71">
            <v>0</v>
          </cell>
          <cell r="M71">
            <v>0</v>
          </cell>
          <cell r="N71">
            <v>0</v>
          </cell>
          <cell r="O71">
            <v>0</v>
          </cell>
          <cell r="P71">
            <v>0</v>
          </cell>
          <cell r="Q71">
            <v>0</v>
          </cell>
          <cell r="R71">
            <v>14</v>
          </cell>
          <cell r="S71" t="b">
            <v>0</v>
          </cell>
          <cell r="T71" t="b">
            <v>0</v>
          </cell>
          <cell r="U71" t="b">
            <v>0</v>
          </cell>
          <cell r="V71">
            <v>0</v>
          </cell>
          <cell r="W71" t="str">
            <v>off</v>
          </cell>
          <cell r="AA71">
            <v>0</v>
          </cell>
        </row>
        <row r="72">
          <cell r="L72">
            <v>0</v>
          </cell>
          <cell r="M72">
            <v>0</v>
          </cell>
          <cell r="N72">
            <v>0</v>
          </cell>
          <cell r="O72">
            <v>0</v>
          </cell>
          <cell r="P72">
            <v>0</v>
          </cell>
          <cell r="Q72">
            <v>0</v>
          </cell>
          <cell r="R72">
            <v>14</v>
          </cell>
          <cell r="S72" t="b">
            <v>0</v>
          </cell>
          <cell r="T72" t="b">
            <v>0</v>
          </cell>
          <cell r="U72" t="b">
            <v>0</v>
          </cell>
          <cell r="V72">
            <v>0</v>
          </cell>
          <cell r="W72" t="str">
            <v>off</v>
          </cell>
          <cell r="AA72">
            <v>0</v>
          </cell>
        </row>
        <row r="73">
          <cell r="L73">
            <v>0</v>
          </cell>
          <cell r="M73">
            <v>0</v>
          </cell>
          <cell r="N73">
            <v>0</v>
          </cell>
          <cell r="O73">
            <v>0</v>
          </cell>
          <cell r="P73">
            <v>0</v>
          </cell>
          <cell r="Q73">
            <v>0</v>
          </cell>
          <cell r="R73">
            <v>14</v>
          </cell>
          <cell r="S73" t="b">
            <v>0</v>
          </cell>
          <cell r="T73" t="b">
            <v>0</v>
          </cell>
          <cell r="U73" t="b">
            <v>0</v>
          </cell>
          <cell r="V73">
            <v>0</v>
          </cell>
          <cell r="W73" t="str">
            <v>off</v>
          </cell>
          <cell r="AA73">
            <v>0</v>
          </cell>
        </row>
        <row r="74">
          <cell r="L74">
            <v>0</v>
          </cell>
          <cell r="M74">
            <v>0</v>
          </cell>
          <cell r="N74">
            <v>0</v>
          </cell>
          <cell r="O74">
            <v>0</v>
          </cell>
          <cell r="P74">
            <v>0</v>
          </cell>
          <cell r="Q74">
            <v>0</v>
          </cell>
          <cell r="R74">
            <v>14</v>
          </cell>
          <cell r="S74" t="b">
            <v>0</v>
          </cell>
          <cell r="T74" t="b">
            <v>0</v>
          </cell>
          <cell r="U74" t="b">
            <v>0</v>
          </cell>
          <cell r="V74">
            <v>0</v>
          </cell>
          <cell r="W74" t="str">
            <v>off</v>
          </cell>
          <cell r="AA74">
            <v>0</v>
          </cell>
        </row>
        <row r="75">
          <cell r="L75">
            <v>0</v>
          </cell>
          <cell r="M75">
            <v>0</v>
          </cell>
          <cell r="N75">
            <v>0</v>
          </cell>
          <cell r="O75">
            <v>0</v>
          </cell>
          <cell r="P75">
            <v>0</v>
          </cell>
          <cell r="Q75">
            <v>0</v>
          </cell>
          <cell r="R75">
            <v>14</v>
          </cell>
          <cell r="S75" t="b">
            <v>0</v>
          </cell>
          <cell r="T75" t="b">
            <v>0</v>
          </cell>
          <cell r="U75" t="b">
            <v>0</v>
          </cell>
          <cell r="V75">
            <v>0</v>
          </cell>
          <cell r="W75" t="str">
            <v>off</v>
          </cell>
          <cell r="AA75">
            <v>0</v>
          </cell>
        </row>
        <row r="76">
          <cell r="L76">
            <v>0</v>
          </cell>
          <cell r="M76">
            <v>0</v>
          </cell>
          <cell r="N76">
            <v>0</v>
          </cell>
          <cell r="O76">
            <v>0</v>
          </cell>
          <cell r="P76">
            <v>0</v>
          </cell>
          <cell r="Q76">
            <v>0</v>
          </cell>
          <cell r="R76">
            <v>14</v>
          </cell>
          <cell r="S76" t="b">
            <v>0</v>
          </cell>
          <cell r="T76" t="b">
            <v>0</v>
          </cell>
          <cell r="U76" t="b">
            <v>0</v>
          </cell>
          <cell r="V76">
            <v>0</v>
          </cell>
          <cell r="W76" t="str">
            <v>off</v>
          </cell>
          <cell r="AA76">
            <v>0</v>
          </cell>
        </row>
        <row r="77">
          <cell r="L77">
            <v>0</v>
          </cell>
          <cell r="M77">
            <v>0</v>
          </cell>
          <cell r="N77">
            <v>0</v>
          </cell>
          <cell r="O77">
            <v>0</v>
          </cell>
          <cell r="P77">
            <v>0</v>
          </cell>
          <cell r="Q77">
            <v>0</v>
          </cell>
          <cell r="R77">
            <v>14</v>
          </cell>
          <cell r="S77" t="b">
            <v>0</v>
          </cell>
          <cell r="T77" t="b">
            <v>0</v>
          </cell>
          <cell r="U77" t="b">
            <v>0</v>
          </cell>
          <cell r="V77">
            <v>0</v>
          </cell>
          <cell r="W77" t="str">
            <v>off</v>
          </cell>
          <cell r="AA77">
            <v>0</v>
          </cell>
        </row>
        <row r="78">
          <cell r="L78">
            <v>0</v>
          </cell>
          <cell r="M78">
            <v>0</v>
          </cell>
          <cell r="N78">
            <v>0</v>
          </cell>
          <cell r="O78">
            <v>0</v>
          </cell>
          <cell r="P78">
            <v>0</v>
          </cell>
          <cell r="Q78">
            <v>0</v>
          </cell>
          <cell r="R78">
            <v>14</v>
          </cell>
          <cell r="S78" t="b">
            <v>0</v>
          </cell>
          <cell r="T78" t="b">
            <v>0</v>
          </cell>
          <cell r="U78" t="b">
            <v>0</v>
          </cell>
          <cell r="V78">
            <v>0</v>
          </cell>
          <cell r="W78" t="str">
            <v>off</v>
          </cell>
          <cell r="AA78">
            <v>0</v>
          </cell>
        </row>
        <row r="79">
          <cell r="L79">
            <v>0</v>
          </cell>
          <cell r="M79">
            <v>0</v>
          </cell>
          <cell r="N79">
            <v>0</v>
          </cell>
          <cell r="O79">
            <v>0</v>
          </cell>
          <cell r="P79">
            <v>0</v>
          </cell>
          <cell r="Q79">
            <v>0</v>
          </cell>
          <cell r="R79">
            <v>14</v>
          </cell>
          <cell r="S79" t="b">
            <v>0</v>
          </cell>
          <cell r="T79" t="b">
            <v>0</v>
          </cell>
          <cell r="U79" t="b">
            <v>0</v>
          </cell>
          <cell r="V79">
            <v>0</v>
          </cell>
          <cell r="W79" t="str">
            <v>off</v>
          </cell>
          <cell r="AA79">
            <v>0</v>
          </cell>
        </row>
        <row r="80">
          <cell r="L80">
            <v>0</v>
          </cell>
          <cell r="M80">
            <v>0</v>
          </cell>
          <cell r="N80">
            <v>0</v>
          </cell>
          <cell r="O80">
            <v>0</v>
          </cell>
          <cell r="P80">
            <v>0</v>
          </cell>
          <cell r="Q80">
            <v>0</v>
          </cell>
          <cell r="R80">
            <v>14</v>
          </cell>
          <cell r="S80" t="b">
            <v>0</v>
          </cell>
          <cell r="T80" t="b">
            <v>0</v>
          </cell>
          <cell r="U80" t="b">
            <v>0</v>
          </cell>
          <cell r="V80">
            <v>0</v>
          </cell>
          <cell r="W80" t="str">
            <v>off</v>
          </cell>
          <cell r="AA80">
            <v>0</v>
          </cell>
        </row>
        <row r="81">
          <cell r="L81">
            <v>0</v>
          </cell>
          <cell r="M81">
            <v>0</v>
          </cell>
          <cell r="N81">
            <v>0</v>
          </cell>
          <cell r="O81">
            <v>0</v>
          </cell>
          <cell r="P81">
            <v>0</v>
          </cell>
          <cell r="Q81">
            <v>0</v>
          </cell>
          <cell r="R81">
            <v>14</v>
          </cell>
          <cell r="S81" t="b">
            <v>0</v>
          </cell>
          <cell r="T81" t="b">
            <v>0</v>
          </cell>
          <cell r="U81" t="b">
            <v>0</v>
          </cell>
          <cell r="V81">
            <v>0</v>
          </cell>
          <cell r="W81" t="str">
            <v>off</v>
          </cell>
          <cell r="AA81">
            <v>0</v>
          </cell>
        </row>
        <row r="82">
          <cell r="L82">
            <v>0</v>
          </cell>
          <cell r="M82">
            <v>0</v>
          </cell>
          <cell r="N82">
            <v>0</v>
          </cell>
          <cell r="O82">
            <v>0</v>
          </cell>
          <cell r="P82">
            <v>0</v>
          </cell>
          <cell r="Q82">
            <v>0</v>
          </cell>
          <cell r="R82">
            <v>14</v>
          </cell>
          <cell r="S82" t="b">
            <v>0</v>
          </cell>
          <cell r="T82" t="b">
            <v>0</v>
          </cell>
          <cell r="U82" t="b">
            <v>0</v>
          </cell>
          <cell r="V82">
            <v>0</v>
          </cell>
          <cell r="W82" t="str">
            <v>off</v>
          </cell>
          <cell r="AA82">
            <v>0</v>
          </cell>
        </row>
        <row r="83">
          <cell r="L83">
            <v>0</v>
          </cell>
          <cell r="M83">
            <v>0</v>
          </cell>
          <cell r="N83">
            <v>0</v>
          </cell>
          <cell r="O83">
            <v>0</v>
          </cell>
          <cell r="P83">
            <v>0</v>
          </cell>
          <cell r="Q83">
            <v>0</v>
          </cell>
          <cell r="R83">
            <v>14</v>
          </cell>
          <cell r="S83" t="b">
            <v>0</v>
          </cell>
          <cell r="T83" t="b">
            <v>0</v>
          </cell>
          <cell r="U83" t="b">
            <v>0</v>
          </cell>
          <cell r="V83">
            <v>0</v>
          </cell>
          <cell r="W83" t="str">
            <v>off</v>
          </cell>
          <cell r="AA83">
            <v>0</v>
          </cell>
        </row>
        <row r="84">
          <cell r="L84">
            <v>0</v>
          </cell>
          <cell r="M84">
            <v>0</v>
          </cell>
          <cell r="N84">
            <v>0</v>
          </cell>
          <cell r="O84">
            <v>0</v>
          </cell>
          <cell r="P84">
            <v>0</v>
          </cell>
          <cell r="Q84">
            <v>0</v>
          </cell>
          <cell r="R84">
            <v>14</v>
          </cell>
          <cell r="S84" t="b">
            <v>0</v>
          </cell>
          <cell r="T84" t="b">
            <v>0</v>
          </cell>
          <cell r="U84" t="b">
            <v>0</v>
          </cell>
          <cell r="V84">
            <v>0</v>
          </cell>
          <cell r="W84" t="str">
            <v>off</v>
          </cell>
          <cell r="AA84">
            <v>0</v>
          </cell>
        </row>
        <row r="85">
          <cell r="L85">
            <v>0</v>
          </cell>
          <cell r="M85">
            <v>0</v>
          </cell>
          <cell r="N85">
            <v>0</v>
          </cell>
          <cell r="O85">
            <v>0</v>
          </cell>
          <cell r="P85">
            <v>0</v>
          </cell>
          <cell r="Q85">
            <v>0</v>
          </cell>
          <cell r="R85">
            <v>14</v>
          </cell>
          <cell r="S85" t="b">
            <v>0</v>
          </cell>
          <cell r="T85" t="b">
            <v>0</v>
          </cell>
          <cell r="U85" t="b">
            <v>0</v>
          </cell>
          <cell r="V85">
            <v>0</v>
          </cell>
          <cell r="W85" t="str">
            <v>off</v>
          </cell>
          <cell r="AA85">
            <v>0</v>
          </cell>
        </row>
        <row r="86">
          <cell r="L86">
            <v>0</v>
          </cell>
          <cell r="M86">
            <v>0</v>
          </cell>
          <cell r="N86">
            <v>0</v>
          </cell>
          <cell r="O86">
            <v>0</v>
          </cell>
          <cell r="P86">
            <v>0</v>
          </cell>
          <cell r="Q86">
            <v>0</v>
          </cell>
          <cell r="R86">
            <v>14</v>
          </cell>
          <cell r="S86" t="b">
            <v>0</v>
          </cell>
          <cell r="T86" t="b">
            <v>0</v>
          </cell>
          <cell r="U86" t="b">
            <v>0</v>
          </cell>
          <cell r="V86">
            <v>0</v>
          </cell>
          <cell r="W86" t="str">
            <v>off</v>
          </cell>
          <cell r="AA86">
            <v>0</v>
          </cell>
        </row>
        <row r="87">
          <cell r="L87">
            <v>0</v>
          </cell>
          <cell r="M87">
            <v>0</v>
          </cell>
          <cell r="N87">
            <v>0</v>
          </cell>
          <cell r="O87">
            <v>0</v>
          </cell>
          <cell r="P87">
            <v>0</v>
          </cell>
          <cell r="Q87">
            <v>0</v>
          </cell>
          <cell r="R87">
            <v>14</v>
          </cell>
          <cell r="S87" t="b">
            <v>0</v>
          </cell>
          <cell r="T87" t="b">
            <v>0</v>
          </cell>
          <cell r="U87" t="b">
            <v>0</v>
          </cell>
          <cell r="V87">
            <v>0</v>
          </cell>
          <cell r="W87" t="str">
            <v>off</v>
          </cell>
          <cell r="AA87">
            <v>0</v>
          </cell>
        </row>
        <row r="88">
          <cell r="L88">
            <v>0</v>
          </cell>
          <cell r="M88">
            <v>0</v>
          </cell>
          <cell r="N88">
            <v>0</v>
          </cell>
          <cell r="O88">
            <v>0</v>
          </cell>
          <cell r="P88">
            <v>0</v>
          </cell>
          <cell r="Q88">
            <v>0</v>
          </cell>
          <cell r="R88">
            <v>14</v>
          </cell>
          <cell r="S88" t="b">
            <v>0</v>
          </cell>
          <cell r="T88" t="b">
            <v>0</v>
          </cell>
          <cell r="U88" t="b">
            <v>0</v>
          </cell>
          <cell r="V88">
            <v>0</v>
          </cell>
          <cell r="W88" t="str">
            <v>off</v>
          </cell>
          <cell r="AA88">
            <v>0</v>
          </cell>
        </row>
        <row r="89">
          <cell r="L89">
            <v>0</v>
          </cell>
          <cell r="M89">
            <v>0</v>
          </cell>
          <cell r="N89">
            <v>0</v>
          </cell>
          <cell r="O89">
            <v>0</v>
          </cell>
          <cell r="P89">
            <v>0</v>
          </cell>
          <cell r="Q89">
            <v>0</v>
          </cell>
          <cell r="R89">
            <v>14</v>
          </cell>
          <cell r="S89" t="b">
            <v>0</v>
          </cell>
          <cell r="T89" t="b">
            <v>0</v>
          </cell>
          <cell r="U89" t="b">
            <v>0</v>
          </cell>
          <cell r="V89">
            <v>0</v>
          </cell>
          <cell r="W89" t="str">
            <v>off</v>
          </cell>
          <cell r="AA89">
            <v>0</v>
          </cell>
        </row>
        <row r="90">
          <cell r="L90">
            <v>0</v>
          </cell>
          <cell r="M90">
            <v>0</v>
          </cell>
          <cell r="N90">
            <v>0</v>
          </cell>
          <cell r="O90">
            <v>0</v>
          </cell>
          <cell r="P90">
            <v>0</v>
          </cell>
          <cell r="Q90">
            <v>0</v>
          </cell>
          <cell r="R90">
            <v>14</v>
          </cell>
          <cell r="S90" t="b">
            <v>0</v>
          </cell>
          <cell r="T90" t="b">
            <v>0</v>
          </cell>
          <cell r="U90" t="b">
            <v>0</v>
          </cell>
          <cell r="V90">
            <v>0</v>
          </cell>
          <cell r="W90" t="str">
            <v>off</v>
          </cell>
          <cell r="AA90">
            <v>0</v>
          </cell>
        </row>
        <row r="91">
          <cell r="L91">
            <v>0</v>
          </cell>
          <cell r="M91">
            <v>0</v>
          </cell>
          <cell r="N91">
            <v>0</v>
          </cell>
          <cell r="O91">
            <v>0</v>
          </cell>
          <cell r="P91">
            <v>0</v>
          </cell>
          <cell r="Q91">
            <v>0</v>
          </cell>
          <cell r="R91">
            <v>14</v>
          </cell>
          <cell r="S91" t="b">
            <v>0</v>
          </cell>
          <cell r="T91" t="b">
            <v>0</v>
          </cell>
          <cell r="U91" t="b">
            <v>0</v>
          </cell>
          <cell r="V91">
            <v>0</v>
          </cell>
          <cell r="W91" t="str">
            <v>off</v>
          </cell>
          <cell r="AA91">
            <v>0</v>
          </cell>
        </row>
        <row r="92">
          <cell r="L92">
            <v>0</v>
          </cell>
          <cell r="M92">
            <v>0</v>
          </cell>
          <cell r="N92">
            <v>0</v>
          </cell>
          <cell r="O92">
            <v>0</v>
          </cell>
          <cell r="P92">
            <v>0</v>
          </cell>
          <cell r="Q92">
            <v>0</v>
          </cell>
          <cell r="R92">
            <v>14</v>
          </cell>
          <cell r="S92" t="b">
            <v>0</v>
          </cell>
          <cell r="T92" t="b">
            <v>0</v>
          </cell>
          <cell r="U92" t="b">
            <v>0</v>
          </cell>
          <cell r="V92">
            <v>0</v>
          </cell>
          <cell r="W92" t="str">
            <v>off</v>
          </cell>
          <cell r="AA92">
            <v>0</v>
          </cell>
        </row>
        <row r="93">
          <cell r="L93">
            <v>0</v>
          </cell>
          <cell r="M93">
            <v>0</v>
          </cell>
          <cell r="N93">
            <v>0</v>
          </cell>
          <cell r="O93">
            <v>0</v>
          </cell>
          <cell r="P93">
            <v>0</v>
          </cell>
          <cell r="Q93">
            <v>0</v>
          </cell>
          <cell r="R93">
            <v>14</v>
          </cell>
          <cell r="S93" t="b">
            <v>0</v>
          </cell>
          <cell r="T93" t="b">
            <v>0</v>
          </cell>
          <cell r="U93" t="b">
            <v>0</v>
          </cell>
          <cell r="V93">
            <v>0</v>
          </cell>
          <cell r="W93" t="str">
            <v>off</v>
          </cell>
          <cell r="AA93">
            <v>0</v>
          </cell>
        </row>
        <row r="94">
          <cell r="L94">
            <v>0</v>
          </cell>
          <cell r="M94">
            <v>0</v>
          </cell>
          <cell r="N94">
            <v>0</v>
          </cell>
          <cell r="O94">
            <v>0</v>
          </cell>
          <cell r="P94">
            <v>0</v>
          </cell>
          <cell r="Q94">
            <v>0</v>
          </cell>
          <cell r="R94">
            <v>14</v>
          </cell>
          <cell r="S94" t="b">
            <v>0</v>
          </cell>
          <cell r="T94" t="b">
            <v>0</v>
          </cell>
          <cell r="U94" t="b">
            <v>0</v>
          </cell>
          <cell r="V94">
            <v>0</v>
          </cell>
          <cell r="W94" t="str">
            <v>off</v>
          </cell>
          <cell r="AA94">
            <v>0</v>
          </cell>
        </row>
        <row r="95">
          <cell r="L95">
            <v>0</v>
          </cell>
          <cell r="M95">
            <v>0</v>
          </cell>
          <cell r="N95">
            <v>0</v>
          </cell>
          <cell r="O95">
            <v>0</v>
          </cell>
          <cell r="P95">
            <v>0</v>
          </cell>
          <cell r="Q95">
            <v>0</v>
          </cell>
          <cell r="R95">
            <v>14</v>
          </cell>
          <cell r="S95" t="b">
            <v>0</v>
          </cell>
          <cell r="T95" t="b">
            <v>0</v>
          </cell>
          <cell r="U95" t="b">
            <v>0</v>
          </cell>
          <cell r="V95">
            <v>0</v>
          </cell>
          <cell r="W95" t="str">
            <v>off</v>
          </cell>
          <cell r="AA95">
            <v>0</v>
          </cell>
        </row>
        <row r="96">
          <cell r="L96">
            <v>0</v>
          </cell>
          <cell r="M96">
            <v>0</v>
          </cell>
          <cell r="N96">
            <v>0</v>
          </cell>
          <cell r="O96">
            <v>0</v>
          </cell>
          <cell r="P96">
            <v>0</v>
          </cell>
          <cell r="Q96">
            <v>0</v>
          </cell>
          <cell r="R96">
            <v>14</v>
          </cell>
          <cell r="S96" t="b">
            <v>0</v>
          </cell>
          <cell r="T96" t="b">
            <v>0</v>
          </cell>
          <cell r="U96" t="b">
            <v>0</v>
          </cell>
          <cell r="V96">
            <v>0</v>
          </cell>
          <cell r="W96" t="str">
            <v>off</v>
          </cell>
          <cell r="AA96">
            <v>0</v>
          </cell>
        </row>
        <row r="97">
          <cell r="L97">
            <v>0</v>
          </cell>
          <cell r="M97">
            <v>0</v>
          </cell>
          <cell r="N97">
            <v>0</v>
          </cell>
          <cell r="O97">
            <v>0</v>
          </cell>
          <cell r="P97">
            <v>0</v>
          </cell>
          <cell r="Q97">
            <v>0</v>
          </cell>
          <cell r="R97">
            <v>14</v>
          </cell>
          <cell r="S97" t="b">
            <v>0</v>
          </cell>
          <cell r="T97" t="b">
            <v>0</v>
          </cell>
          <cell r="U97" t="b">
            <v>0</v>
          </cell>
          <cell r="V97">
            <v>0</v>
          </cell>
          <cell r="W97" t="str">
            <v>off</v>
          </cell>
          <cell r="AA97">
            <v>0</v>
          </cell>
        </row>
        <row r="98">
          <cell r="L98">
            <v>0</v>
          </cell>
          <cell r="M98">
            <v>0</v>
          </cell>
          <cell r="N98">
            <v>0</v>
          </cell>
          <cell r="O98">
            <v>0</v>
          </cell>
          <cell r="P98">
            <v>0</v>
          </cell>
          <cell r="Q98">
            <v>0</v>
          </cell>
          <cell r="R98">
            <v>14</v>
          </cell>
          <cell r="S98" t="b">
            <v>0</v>
          </cell>
          <cell r="T98" t="b">
            <v>0</v>
          </cell>
          <cell r="U98" t="b">
            <v>0</v>
          </cell>
          <cell r="V98">
            <v>0</v>
          </cell>
          <cell r="W98" t="str">
            <v>off</v>
          </cell>
          <cell r="AA98">
            <v>0</v>
          </cell>
        </row>
        <row r="99">
          <cell r="L99">
            <v>0</v>
          </cell>
          <cell r="M99">
            <v>0</v>
          </cell>
          <cell r="N99">
            <v>0</v>
          </cell>
          <cell r="O99">
            <v>0</v>
          </cell>
          <cell r="P99">
            <v>0</v>
          </cell>
          <cell r="Q99">
            <v>0</v>
          </cell>
          <cell r="R99">
            <v>14</v>
          </cell>
          <cell r="S99" t="b">
            <v>0</v>
          </cell>
          <cell r="T99" t="b">
            <v>0</v>
          </cell>
          <cell r="U99" t="b">
            <v>0</v>
          </cell>
          <cell r="V99">
            <v>0</v>
          </cell>
          <cell r="W99" t="str">
            <v>off</v>
          </cell>
          <cell r="AA99">
            <v>0</v>
          </cell>
        </row>
        <row r="100">
          <cell r="L100">
            <v>0</v>
          </cell>
          <cell r="M100">
            <v>0</v>
          </cell>
          <cell r="N100">
            <v>0</v>
          </cell>
          <cell r="O100">
            <v>0</v>
          </cell>
          <cell r="P100">
            <v>0</v>
          </cell>
          <cell r="Q100">
            <v>0</v>
          </cell>
          <cell r="R100">
            <v>14</v>
          </cell>
          <cell r="S100" t="b">
            <v>0</v>
          </cell>
          <cell r="T100" t="b">
            <v>0</v>
          </cell>
          <cell r="U100" t="b">
            <v>0</v>
          </cell>
          <cell r="V100">
            <v>0</v>
          </cell>
          <cell r="W100" t="str">
            <v>off</v>
          </cell>
          <cell r="AA100">
            <v>0</v>
          </cell>
        </row>
        <row r="101">
          <cell r="L101">
            <v>0</v>
          </cell>
          <cell r="M101">
            <v>0</v>
          </cell>
          <cell r="N101">
            <v>0</v>
          </cell>
          <cell r="O101">
            <v>0</v>
          </cell>
          <cell r="P101">
            <v>0</v>
          </cell>
          <cell r="Q101">
            <v>0</v>
          </cell>
          <cell r="R101">
            <v>14</v>
          </cell>
          <cell r="S101" t="b">
            <v>0</v>
          </cell>
          <cell r="T101" t="b">
            <v>0</v>
          </cell>
          <cell r="U101" t="b">
            <v>0</v>
          </cell>
          <cell r="V101">
            <v>0</v>
          </cell>
          <cell r="W101" t="str">
            <v>off</v>
          </cell>
          <cell r="AA101">
            <v>0</v>
          </cell>
        </row>
        <row r="102">
          <cell r="L102">
            <v>0</v>
          </cell>
          <cell r="M102">
            <v>0</v>
          </cell>
          <cell r="N102">
            <v>0</v>
          </cell>
          <cell r="O102">
            <v>0</v>
          </cell>
          <cell r="P102">
            <v>0</v>
          </cell>
          <cell r="Q102">
            <v>0</v>
          </cell>
          <cell r="R102">
            <v>14</v>
          </cell>
          <cell r="S102" t="b">
            <v>0</v>
          </cell>
          <cell r="T102" t="b">
            <v>0</v>
          </cell>
          <cell r="U102" t="b">
            <v>0</v>
          </cell>
          <cell r="V102">
            <v>0</v>
          </cell>
          <cell r="W102" t="str">
            <v>off</v>
          </cell>
          <cell r="AA102">
            <v>0</v>
          </cell>
        </row>
        <row r="103">
          <cell r="L103">
            <v>0</v>
          </cell>
          <cell r="M103">
            <v>0</v>
          </cell>
          <cell r="N103">
            <v>0</v>
          </cell>
          <cell r="O103">
            <v>0</v>
          </cell>
          <cell r="P103">
            <v>0</v>
          </cell>
          <cell r="Q103">
            <v>0</v>
          </cell>
          <cell r="R103">
            <v>14</v>
          </cell>
          <cell r="S103" t="b">
            <v>0</v>
          </cell>
          <cell r="T103" t="b">
            <v>0</v>
          </cell>
          <cell r="U103" t="b">
            <v>0</v>
          </cell>
          <cell r="V103">
            <v>0</v>
          </cell>
          <cell r="W103" t="str">
            <v>off</v>
          </cell>
          <cell r="AA103">
            <v>0</v>
          </cell>
        </row>
        <row r="104">
          <cell r="L104">
            <v>0</v>
          </cell>
          <cell r="M104">
            <v>0</v>
          </cell>
          <cell r="N104">
            <v>0</v>
          </cell>
          <cell r="O104">
            <v>0</v>
          </cell>
          <cell r="P104">
            <v>0</v>
          </cell>
          <cell r="Q104">
            <v>0</v>
          </cell>
          <cell r="R104">
            <v>14</v>
          </cell>
          <cell r="S104" t="b">
            <v>0</v>
          </cell>
          <cell r="T104" t="b">
            <v>0</v>
          </cell>
          <cell r="U104" t="b">
            <v>0</v>
          </cell>
          <cell r="V104">
            <v>0</v>
          </cell>
          <cell r="W104" t="str">
            <v>off</v>
          </cell>
          <cell r="AA104">
            <v>0</v>
          </cell>
        </row>
        <row r="105">
          <cell r="L105">
            <v>0</v>
          </cell>
          <cell r="M105">
            <v>0</v>
          </cell>
          <cell r="N105">
            <v>0</v>
          </cell>
          <cell r="O105">
            <v>0</v>
          </cell>
          <cell r="P105">
            <v>0</v>
          </cell>
          <cell r="Q105">
            <v>0</v>
          </cell>
          <cell r="R105">
            <v>14</v>
          </cell>
          <cell r="S105" t="b">
            <v>0</v>
          </cell>
          <cell r="T105" t="b">
            <v>0</v>
          </cell>
          <cell r="U105" t="b">
            <v>0</v>
          </cell>
          <cell r="V105">
            <v>0</v>
          </cell>
          <cell r="W105" t="str">
            <v>off</v>
          </cell>
          <cell r="AA105">
            <v>0</v>
          </cell>
        </row>
        <row r="106">
          <cell r="L106">
            <v>0</v>
          </cell>
          <cell r="M106">
            <v>0</v>
          </cell>
          <cell r="N106">
            <v>0</v>
          </cell>
          <cell r="O106">
            <v>0</v>
          </cell>
          <cell r="P106">
            <v>0</v>
          </cell>
          <cell r="Q106">
            <v>0</v>
          </cell>
          <cell r="R106">
            <v>14</v>
          </cell>
          <cell r="S106" t="b">
            <v>0</v>
          </cell>
          <cell r="T106" t="b">
            <v>0</v>
          </cell>
          <cell r="U106" t="b">
            <v>0</v>
          </cell>
          <cell r="V106">
            <v>0</v>
          </cell>
          <cell r="W106" t="str">
            <v>off</v>
          </cell>
          <cell r="AA106">
            <v>0</v>
          </cell>
        </row>
        <row r="107">
          <cell r="L107">
            <v>0</v>
          </cell>
          <cell r="M107">
            <v>0</v>
          </cell>
          <cell r="N107">
            <v>0</v>
          </cell>
          <cell r="O107">
            <v>0</v>
          </cell>
          <cell r="P107">
            <v>0</v>
          </cell>
          <cell r="Q107">
            <v>0</v>
          </cell>
          <cell r="R107">
            <v>14</v>
          </cell>
          <cell r="S107" t="b">
            <v>0</v>
          </cell>
          <cell r="T107" t="b">
            <v>0</v>
          </cell>
          <cell r="U107" t="b">
            <v>0</v>
          </cell>
          <cell r="V107">
            <v>0</v>
          </cell>
          <cell r="W107" t="str">
            <v>off</v>
          </cell>
          <cell r="AA107">
            <v>0</v>
          </cell>
        </row>
        <row r="108">
          <cell r="L108">
            <v>0</v>
          </cell>
          <cell r="M108">
            <v>0</v>
          </cell>
          <cell r="N108">
            <v>0</v>
          </cell>
          <cell r="O108">
            <v>0</v>
          </cell>
          <cell r="P108">
            <v>0</v>
          </cell>
          <cell r="Q108">
            <v>0</v>
          </cell>
          <cell r="R108">
            <v>14</v>
          </cell>
          <cell r="S108" t="b">
            <v>0</v>
          </cell>
          <cell r="T108" t="b">
            <v>0</v>
          </cell>
          <cell r="U108" t="b">
            <v>0</v>
          </cell>
          <cell r="V108">
            <v>0</v>
          </cell>
          <cell r="W108" t="str">
            <v>off</v>
          </cell>
          <cell r="AA108">
            <v>0</v>
          </cell>
        </row>
        <row r="109">
          <cell r="L109">
            <v>0</v>
          </cell>
          <cell r="M109">
            <v>0</v>
          </cell>
          <cell r="N109">
            <v>0</v>
          </cell>
          <cell r="O109">
            <v>0</v>
          </cell>
          <cell r="P109">
            <v>0</v>
          </cell>
          <cell r="Q109">
            <v>0</v>
          </cell>
          <cell r="R109">
            <v>14</v>
          </cell>
          <cell r="S109" t="b">
            <v>0</v>
          </cell>
          <cell r="T109" t="b">
            <v>0</v>
          </cell>
          <cell r="U109" t="b">
            <v>0</v>
          </cell>
          <cell r="V109">
            <v>0</v>
          </cell>
          <cell r="W109" t="str">
            <v>off</v>
          </cell>
          <cell r="AA109">
            <v>0</v>
          </cell>
        </row>
        <row r="110">
          <cell r="L110">
            <v>0</v>
          </cell>
          <cell r="M110">
            <v>0</v>
          </cell>
          <cell r="N110">
            <v>0</v>
          </cell>
          <cell r="O110">
            <v>0</v>
          </cell>
          <cell r="P110">
            <v>0</v>
          </cell>
          <cell r="Q110">
            <v>0</v>
          </cell>
          <cell r="R110">
            <v>14</v>
          </cell>
          <cell r="S110" t="b">
            <v>0</v>
          </cell>
          <cell r="T110" t="b">
            <v>0</v>
          </cell>
          <cell r="U110" t="b">
            <v>0</v>
          </cell>
          <cell r="V110">
            <v>0</v>
          </cell>
          <cell r="W110" t="str">
            <v>off</v>
          </cell>
          <cell r="AA110">
            <v>0</v>
          </cell>
        </row>
        <row r="111">
          <cell r="L111">
            <v>0</v>
          </cell>
          <cell r="M111">
            <v>0</v>
          </cell>
          <cell r="N111">
            <v>0</v>
          </cell>
          <cell r="O111">
            <v>0</v>
          </cell>
          <cell r="P111">
            <v>0</v>
          </cell>
          <cell r="Q111">
            <v>0</v>
          </cell>
          <cell r="R111">
            <v>14</v>
          </cell>
          <cell r="S111" t="b">
            <v>0</v>
          </cell>
          <cell r="T111" t="b">
            <v>0</v>
          </cell>
          <cell r="U111" t="b">
            <v>0</v>
          </cell>
          <cell r="V111">
            <v>0</v>
          </cell>
          <cell r="W111" t="str">
            <v>off</v>
          </cell>
          <cell r="AA111">
            <v>0</v>
          </cell>
        </row>
        <row r="112">
          <cell r="L112">
            <v>0</v>
          </cell>
          <cell r="M112">
            <v>0</v>
          </cell>
          <cell r="N112">
            <v>0</v>
          </cell>
          <cell r="O112">
            <v>0</v>
          </cell>
          <cell r="P112">
            <v>0</v>
          </cell>
          <cell r="Q112">
            <v>0</v>
          </cell>
          <cell r="R112">
            <v>14</v>
          </cell>
          <cell r="S112" t="b">
            <v>0</v>
          </cell>
          <cell r="T112" t="b">
            <v>0</v>
          </cell>
          <cell r="U112" t="b">
            <v>0</v>
          </cell>
          <cell r="V112">
            <v>0</v>
          </cell>
          <cell r="W112" t="str">
            <v>off</v>
          </cell>
          <cell r="AA112">
            <v>0</v>
          </cell>
        </row>
        <row r="113">
          <cell r="L113">
            <v>0</v>
          </cell>
          <cell r="M113">
            <v>0</v>
          </cell>
          <cell r="N113">
            <v>0</v>
          </cell>
          <cell r="O113">
            <v>0</v>
          </cell>
          <cell r="P113">
            <v>0</v>
          </cell>
          <cell r="Q113">
            <v>0</v>
          </cell>
          <cell r="R113">
            <v>14</v>
          </cell>
          <cell r="S113" t="b">
            <v>0</v>
          </cell>
          <cell r="T113" t="b">
            <v>0</v>
          </cell>
          <cell r="U113" t="b">
            <v>0</v>
          </cell>
          <cell r="V113">
            <v>0</v>
          </cell>
          <cell r="W113" t="str">
            <v>off</v>
          </cell>
          <cell r="AA113">
            <v>0</v>
          </cell>
        </row>
        <row r="114">
          <cell r="L114">
            <v>0</v>
          </cell>
          <cell r="M114">
            <v>0</v>
          </cell>
          <cell r="N114">
            <v>0</v>
          </cell>
          <cell r="O114">
            <v>0</v>
          </cell>
          <cell r="P114">
            <v>0</v>
          </cell>
          <cell r="Q114">
            <v>0</v>
          </cell>
          <cell r="R114">
            <v>14</v>
          </cell>
          <cell r="S114" t="b">
            <v>0</v>
          </cell>
          <cell r="T114" t="b">
            <v>0</v>
          </cell>
          <cell r="U114" t="b">
            <v>0</v>
          </cell>
          <cell r="V114">
            <v>0</v>
          </cell>
          <cell r="W114" t="str">
            <v>off</v>
          </cell>
          <cell r="AA114">
            <v>0</v>
          </cell>
        </row>
        <row r="115">
          <cell r="L115">
            <v>0</v>
          </cell>
          <cell r="M115">
            <v>0</v>
          </cell>
          <cell r="N115">
            <v>0</v>
          </cell>
          <cell r="O115">
            <v>0</v>
          </cell>
          <cell r="P115">
            <v>0</v>
          </cell>
          <cell r="Q115">
            <v>0</v>
          </cell>
          <cell r="R115">
            <v>14</v>
          </cell>
          <cell r="S115" t="b">
            <v>0</v>
          </cell>
          <cell r="T115" t="b">
            <v>0</v>
          </cell>
          <cell r="U115" t="b">
            <v>0</v>
          </cell>
          <cell r="V115">
            <v>0</v>
          </cell>
          <cell r="W115" t="str">
            <v>off</v>
          </cell>
          <cell r="AA115">
            <v>0</v>
          </cell>
        </row>
        <row r="116">
          <cell r="L116">
            <v>0</v>
          </cell>
          <cell r="M116">
            <v>0</v>
          </cell>
          <cell r="N116">
            <v>0</v>
          </cell>
          <cell r="O116">
            <v>0</v>
          </cell>
          <cell r="P116">
            <v>0</v>
          </cell>
          <cell r="Q116">
            <v>0</v>
          </cell>
          <cell r="R116">
            <v>14</v>
          </cell>
          <cell r="S116" t="b">
            <v>0</v>
          </cell>
          <cell r="T116" t="b">
            <v>0</v>
          </cell>
          <cell r="U116" t="b">
            <v>0</v>
          </cell>
          <cell r="V116">
            <v>0</v>
          </cell>
          <cell r="W116" t="str">
            <v>off</v>
          </cell>
          <cell r="AA116">
            <v>0</v>
          </cell>
        </row>
        <row r="117">
          <cell r="L117">
            <v>0</v>
          </cell>
          <cell r="M117">
            <v>0</v>
          </cell>
          <cell r="N117">
            <v>0</v>
          </cell>
          <cell r="O117">
            <v>0</v>
          </cell>
          <cell r="P117">
            <v>0</v>
          </cell>
          <cell r="Q117">
            <v>0</v>
          </cell>
          <cell r="R117">
            <v>14</v>
          </cell>
          <cell r="S117" t="b">
            <v>0</v>
          </cell>
          <cell r="T117" t="b">
            <v>0</v>
          </cell>
          <cell r="U117" t="b">
            <v>0</v>
          </cell>
          <cell r="V117">
            <v>0</v>
          </cell>
          <cell r="W117" t="str">
            <v>off</v>
          </cell>
          <cell r="AA117">
            <v>0</v>
          </cell>
        </row>
        <row r="118">
          <cell r="L118">
            <v>0</v>
          </cell>
          <cell r="M118">
            <v>0</v>
          </cell>
          <cell r="N118">
            <v>0</v>
          </cell>
          <cell r="O118">
            <v>0</v>
          </cell>
          <cell r="P118">
            <v>0</v>
          </cell>
          <cell r="Q118">
            <v>0</v>
          </cell>
          <cell r="R118">
            <v>14</v>
          </cell>
          <cell r="S118" t="b">
            <v>0</v>
          </cell>
          <cell r="T118" t="b">
            <v>0</v>
          </cell>
          <cell r="U118" t="b">
            <v>0</v>
          </cell>
          <cell r="V118">
            <v>0</v>
          </cell>
          <cell r="W118" t="str">
            <v>off</v>
          </cell>
          <cell r="AA118">
            <v>0</v>
          </cell>
        </row>
        <row r="119">
          <cell r="L119">
            <v>0</v>
          </cell>
          <cell r="M119">
            <v>0</v>
          </cell>
          <cell r="N119">
            <v>0</v>
          </cell>
          <cell r="O119">
            <v>0</v>
          </cell>
          <cell r="P119">
            <v>0</v>
          </cell>
          <cell r="Q119">
            <v>0</v>
          </cell>
          <cell r="R119">
            <v>14</v>
          </cell>
          <cell r="S119" t="b">
            <v>0</v>
          </cell>
          <cell r="T119" t="b">
            <v>0</v>
          </cell>
          <cell r="U119" t="b">
            <v>0</v>
          </cell>
          <cell r="V119">
            <v>0</v>
          </cell>
          <cell r="W119" t="str">
            <v>off</v>
          </cell>
          <cell r="AA119">
            <v>0</v>
          </cell>
        </row>
        <row r="120">
          <cell r="L120">
            <v>0</v>
          </cell>
          <cell r="M120">
            <v>0</v>
          </cell>
          <cell r="N120">
            <v>0</v>
          </cell>
          <cell r="O120">
            <v>0</v>
          </cell>
          <cell r="P120">
            <v>0</v>
          </cell>
          <cell r="Q120">
            <v>0</v>
          </cell>
          <cell r="R120">
            <v>14</v>
          </cell>
          <cell r="S120" t="b">
            <v>0</v>
          </cell>
          <cell r="T120" t="b">
            <v>0</v>
          </cell>
          <cell r="U120" t="b">
            <v>0</v>
          </cell>
          <cell r="V120">
            <v>0</v>
          </cell>
          <cell r="W120" t="str">
            <v>off</v>
          </cell>
          <cell r="AA120">
            <v>0</v>
          </cell>
        </row>
        <row r="121">
          <cell r="L121">
            <v>0</v>
          </cell>
          <cell r="M121">
            <v>0</v>
          </cell>
          <cell r="N121">
            <v>0</v>
          </cell>
          <cell r="O121">
            <v>0</v>
          </cell>
          <cell r="P121">
            <v>0</v>
          </cell>
          <cell r="Q121">
            <v>0</v>
          </cell>
          <cell r="R121">
            <v>14</v>
          </cell>
          <cell r="S121" t="b">
            <v>0</v>
          </cell>
          <cell r="T121" t="b">
            <v>0</v>
          </cell>
          <cell r="U121" t="b">
            <v>0</v>
          </cell>
          <cell r="V121">
            <v>0</v>
          </cell>
          <cell r="W121" t="str">
            <v>off</v>
          </cell>
          <cell r="AA121">
            <v>0</v>
          </cell>
        </row>
        <row r="122">
          <cell r="L122">
            <v>0</v>
          </cell>
          <cell r="M122">
            <v>0</v>
          </cell>
          <cell r="N122">
            <v>0</v>
          </cell>
          <cell r="O122">
            <v>0</v>
          </cell>
          <cell r="P122">
            <v>0</v>
          </cell>
          <cell r="Q122">
            <v>0</v>
          </cell>
          <cell r="R122">
            <v>14</v>
          </cell>
          <cell r="S122" t="b">
            <v>0</v>
          </cell>
          <cell r="T122" t="b">
            <v>0</v>
          </cell>
          <cell r="U122" t="b">
            <v>0</v>
          </cell>
          <cell r="V122">
            <v>0</v>
          </cell>
          <cell r="W122" t="str">
            <v>off</v>
          </cell>
          <cell r="AA122">
            <v>0</v>
          </cell>
        </row>
        <row r="123">
          <cell r="L123">
            <v>0</v>
          </cell>
          <cell r="M123">
            <v>0</v>
          </cell>
          <cell r="N123">
            <v>0</v>
          </cell>
          <cell r="O123">
            <v>0</v>
          </cell>
          <cell r="P123">
            <v>0</v>
          </cell>
          <cell r="Q123">
            <v>0</v>
          </cell>
          <cell r="R123">
            <v>14</v>
          </cell>
          <cell r="S123" t="b">
            <v>0</v>
          </cell>
          <cell r="T123" t="b">
            <v>0</v>
          </cell>
          <cell r="U123" t="b">
            <v>0</v>
          </cell>
          <cell r="V123">
            <v>0</v>
          </cell>
          <cell r="W123" t="str">
            <v>off</v>
          </cell>
          <cell r="AA123">
            <v>0</v>
          </cell>
        </row>
        <row r="124">
          <cell r="L124">
            <v>0</v>
          </cell>
          <cell r="M124">
            <v>0</v>
          </cell>
          <cell r="N124">
            <v>0</v>
          </cell>
          <cell r="O124">
            <v>0</v>
          </cell>
          <cell r="P124">
            <v>0</v>
          </cell>
          <cell r="Q124">
            <v>0</v>
          </cell>
          <cell r="R124">
            <v>14</v>
          </cell>
          <cell r="S124" t="b">
            <v>0</v>
          </cell>
          <cell r="T124" t="b">
            <v>0</v>
          </cell>
          <cell r="U124" t="b">
            <v>0</v>
          </cell>
          <cell r="V124">
            <v>0</v>
          </cell>
          <cell r="W124" t="str">
            <v>off</v>
          </cell>
          <cell r="AA124">
            <v>0</v>
          </cell>
        </row>
        <row r="125">
          <cell r="L125">
            <v>0</v>
          </cell>
          <cell r="M125">
            <v>0</v>
          </cell>
          <cell r="N125">
            <v>0</v>
          </cell>
          <cell r="O125">
            <v>0</v>
          </cell>
          <cell r="P125">
            <v>0</v>
          </cell>
          <cell r="Q125">
            <v>0</v>
          </cell>
          <cell r="R125">
            <v>14</v>
          </cell>
          <cell r="S125" t="b">
            <v>0</v>
          </cell>
          <cell r="T125" t="b">
            <v>0</v>
          </cell>
          <cell r="U125" t="b">
            <v>0</v>
          </cell>
          <cell r="V125">
            <v>0</v>
          </cell>
          <cell r="W125" t="str">
            <v>off</v>
          </cell>
          <cell r="AA125">
            <v>0</v>
          </cell>
        </row>
        <row r="126">
          <cell r="L126">
            <v>0</v>
          </cell>
          <cell r="M126">
            <v>0</v>
          </cell>
          <cell r="N126">
            <v>0</v>
          </cell>
          <cell r="O126">
            <v>0</v>
          </cell>
          <cell r="P126">
            <v>0</v>
          </cell>
          <cell r="Q126">
            <v>0</v>
          </cell>
          <cell r="R126">
            <v>14</v>
          </cell>
          <cell r="S126" t="b">
            <v>0</v>
          </cell>
          <cell r="T126" t="b">
            <v>0</v>
          </cell>
          <cell r="U126" t="b">
            <v>0</v>
          </cell>
          <cell r="V126">
            <v>0</v>
          </cell>
          <cell r="W126" t="str">
            <v>off</v>
          </cell>
          <cell r="AA126">
            <v>0</v>
          </cell>
        </row>
        <row r="127">
          <cell r="L127">
            <v>0</v>
          </cell>
          <cell r="M127">
            <v>0</v>
          </cell>
          <cell r="N127">
            <v>0</v>
          </cell>
          <cell r="O127">
            <v>0</v>
          </cell>
          <cell r="P127">
            <v>0</v>
          </cell>
          <cell r="Q127">
            <v>0</v>
          </cell>
          <cell r="R127">
            <v>14</v>
          </cell>
          <cell r="S127" t="b">
            <v>0</v>
          </cell>
          <cell r="T127" t="b">
            <v>0</v>
          </cell>
          <cell r="U127" t="b">
            <v>0</v>
          </cell>
          <cell r="V127">
            <v>0</v>
          </cell>
          <cell r="W127" t="str">
            <v>off</v>
          </cell>
          <cell r="AA127">
            <v>0</v>
          </cell>
        </row>
        <row r="128">
          <cell r="L128">
            <v>0</v>
          </cell>
          <cell r="M128">
            <v>0</v>
          </cell>
          <cell r="N128">
            <v>0</v>
          </cell>
          <cell r="O128">
            <v>0</v>
          </cell>
          <cell r="P128">
            <v>0</v>
          </cell>
          <cell r="Q128">
            <v>0</v>
          </cell>
          <cell r="R128">
            <v>14</v>
          </cell>
          <cell r="S128" t="b">
            <v>0</v>
          </cell>
          <cell r="T128" t="b">
            <v>0</v>
          </cell>
          <cell r="U128" t="b">
            <v>0</v>
          </cell>
          <cell r="V128">
            <v>0</v>
          </cell>
          <cell r="W128" t="str">
            <v>off</v>
          </cell>
          <cell r="AA128">
            <v>0</v>
          </cell>
        </row>
        <row r="129">
          <cell r="L129">
            <v>0</v>
          </cell>
          <cell r="M129">
            <v>0</v>
          </cell>
          <cell r="N129">
            <v>0</v>
          </cell>
          <cell r="O129">
            <v>0</v>
          </cell>
          <cell r="P129">
            <v>0</v>
          </cell>
          <cell r="Q129">
            <v>0</v>
          </cell>
          <cell r="R129">
            <v>14</v>
          </cell>
          <cell r="S129" t="b">
            <v>0</v>
          </cell>
          <cell r="T129" t="b">
            <v>0</v>
          </cell>
          <cell r="U129" t="b">
            <v>0</v>
          </cell>
          <cell r="V129">
            <v>0</v>
          </cell>
          <cell r="W129" t="str">
            <v>off</v>
          </cell>
          <cell r="AA129">
            <v>0</v>
          </cell>
        </row>
        <row r="130">
          <cell r="L130">
            <v>0</v>
          </cell>
          <cell r="M130">
            <v>0</v>
          </cell>
          <cell r="N130">
            <v>0</v>
          </cell>
          <cell r="O130">
            <v>0</v>
          </cell>
          <cell r="P130">
            <v>0</v>
          </cell>
          <cell r="Q130">
            <v>0</v>
          </cell>
          <cell r="R130">
            <v>14</v>
          </cell>
          <cell r="S130" t="b">
            <v>0</v>
          </cell>
          <cell r="T130" t="b">
            <v>0</v>
          </cell>
          <cell r="U130" t="b">
            <v>0</v>
          </cell>
          <cell r="V130">
            <v>0</v>
          </cell>
          <cell r="W130" t="str">
            <v>off</v>
          </cell>
          <cell r="AA130">
            <v>0</v>
          </cell>
        </row>
        <row r="131">
          <cell r="L131">
            <v>0</v>
          </cell>
          <cell r="M131">
            <v>0</v>
          </cell>
          <cell r="N131">
            <v>0</v>
          </cell>
          <cell r="O131">
            <v>0</v>
          </cell>
          <cell r="P131">
            <v>0</v>
          </cell>
          <cell r="Q131">
            <v>0</v>
          </cell>
          <cell r="R131">
            <v>14</v>
          </cell>
          <cell r="S131" t="b">
            <v>0</v>
          </cell>
          <cell r="T131" t="b">
            <v>0</v>
          </cell>
          <cell r="U131" t="b">
            <v>0</v>
          </cell>
          <cell r="V131">
            <v>0</v>
          </cell>
          <cell r="W131" t="str">
            <v>off</v>
          </cell>
          <cell r="AA131">
            <v>0</v>
          </cell>
        </row>
        <row r="132">
          <cell r="L132">
            <v>0</v>
          </cell>
          <cell r="M132">
            <v>0</v>
          </cell>
          <cell r="N132">
            <v>0</v>
          </cell>
          <cell r="O132">
            <v>0</v>
          </cell>
          <cell r="P132">
            <v>0</v>
          </cell>
          <cell r="Q132">
            <v>0</v>
          </cell>
          <cell r="R132">
            <v>14</v>
          </cell>
          <cell r="S132" t="b">
            <v>0</v>
          </cell>
          <cell r="T132" t="b">
            <v>0</v>
          </cell>
          <cell r="U132" t="b">
            <v>0</v>
          </cell>
          <cell r="V132">
            <v>0</v>
          </cell>
          <cell r="W132" t="str">
            <v>off</v>
          </cell>
          <cell r="AA132">
            <v>0</v>
          </cell>
        </row>
        <row r="133">
          <cell r="L133">
            <v>0</v>
          </cell>
          <cell r="M133">
            <v>0</v>
          </cell>
          <cell r="N133">
            <v>0</v>
          </cell>
          <cell r="O133">
            <v>0</v>
          </cell>
          <cell r="P133">
            <v>0</v>
          </cell>
          <cell r="Q133">
            <v>0</v>
          </cell>
          <cell r="R133">
            <v>14</v>
          </cell>
          <cell r="S133" t="b">
            <v>0</v>
          </cell>
          <cell r="T133" t="b">
            <v>0</v>
          </cell>
          <cell r="U133" t="b">
            <v>0</v>
          </cell>
          <cell r="V133">
            <v>0</v>
          </cell>
          <cell r="W133" t="str">
            <v>off</v>
          </cell>
          <cell r="AA133">
            <v>0</v>
          </cell>
        </row>
        <row r="134">
          <cell r="L134">
            <v>0</v>
          </cell>
          <cell r="M134">
            <v>0</v>
          </cell>
          <cell r="N134">
            <v>0</v>
          </cell>
          <cell r="O134">
            <v>0</v>
          </cell>
          <cell r="P134">
            <v>0</v>
          </cell>
          <cell r="Q134">
            <v>0</v>
          </cell>
          <cell r="R134">
            <v>14</v>
          </cell>
          <cell r="S134" t="b">
            <v>0</v>
          </cell>
          <cell r="T134" t="b">
            <v>0</v>
          </cell>
          <cell r="U134" t="b">
            <v>0</v>
          </cell>
          <cell r="V134">
            <v>0</v>
          </cell>
          <cell r="W134" t="str">
            <v>off</v>
          </cell>
          <cell r="AA134">
            <v>0</v>
          </cell>
        </row>
        <row r="135">
          <cell r="L135">
            <v>0</v>
          </cell>
          <cell r="M135">
            <v>0</v>
          </cell>
          <cell r="N135">
            <v>0</v>
          </cell>
          <cell r="O135">
            <v>0</v>
          </cell>
          <cell r="P135">
            <v>0</v>
          </cell>
          <cell r="Q135">
            <v>0</v>
          </cell>
          <cell r="R135">
            <v>14</v>
          </cell>
          <cell r="S135" t="b">
            <v>0</v>
          </cell>
          <cell r="T135" t="b">
            <v>0</v>
          </cell>
          <cell r="U135" t="b">
            <v>0</v>
          </cell>
          <cell r="V135">
            <v>0</v>
          </cell>
          <cell r="W135" t="str">
            <v>off</v>
          </cell>
          <cell r="AA135">
            <v>0</v>
          </cell>
        </row>
        <row r="136">
          <cell r="L136">
            <v>0</v>
          </cell>
          <cell r="M136">
            <v>0</v>
          </cell>
          <cell r="N136">
            <v>0</v>
          </cell>
          <cell r="O136">
            <v>0</v>
          </cell>
          <cell r="P136">
            <v>0</v>
          </cell>
          <cell r="Q136">
            <v>0</v>
          </cell>
          <cell r="R136">
            <v>14</v>
          </cell>
          <cell r="S136" t="b">
            <v>0</v>
          </cell>
          <cell r="T136" t="b">
            <v>0</v>
          </cell>
          <cell r="U136" t="b">
            <v>0</v>
          </cell>
          <cell r="V136">
            <v>0</v>
          </cell>
          <cell r="W136" t="str">
            <v>off</v>
          </cell>
          <cell r="AA136">
            <v>0</v>
          </cell>
        </row>
        <row r="137">
          <cell r="L137">
            <v>0</v>
          </cell>
          <cell r="M137">
            <v>0</v>
          </cell>
          <cell r="N137">
            <v>0</v>
          </cell>
          <cell r="O137">
            <v>0</v>
          </cell>
          <cell r="P137">
            <v>0</v>
          </cell>
          <cell r="Q137">
            <v>0</v>
          </cell>
          <cell r="R137">
            <v>14</v>
          </cell>
          <cell r="S137" t="b">
            <v>0</v>
          </cell>
          <cell r="T137" t="b">
            <v>0</v>
          </cell>
          <cell r="U137" t="b">
            <v>0</v>
          </cell>
          <cell r="V137">
            <v>0</v>
          </cell>
          <cell r="W137" t="str">
            <v>off</v>
          </cell>
          <cell r="AA137">
            <v>0</v>
          </cell>
        </row>
        <row r="138">
          <cell r="L138">
            <v>0</v>
          </cell>
          <cell r="M138">
            <v>0</v>
          </cell>
          <cell r="N138">
            <v>0</v>
          </cell>
          <cell r="O138">
            <v>0</v>
          </cell>
          <cell r="P138">
            <v>0</v>
          </cell>
          <cell r="Q138">
            <v>0</v>
          </cell>
          <cell r="R138">
            <v>14</v>
          </cell>
          <cell r="S138" t="b">
            <v>0</v>
          </cell>
          <cell r="T138" t="b">
            <v>0</v>
          </cell>
          <cell r="U138" t="b">
            <v>0</v>
          </cell>
          <cell r="V138">
            <v>0</v>
          </cell>
          <cell r="W138" t="str">
            <v>off</v>
          </cell>
          <cell r="AA138">
            <v>0</v>
          </cell>
        </row>
        <row r="139">
          <cell r="L139">
            <v>0</v>
          </cell>
          <cell r="M139">
            <v>0</v>
          </cell>
          <cell r="N139">
            <v>0</v>
          </cell>
          <cell r="O139">
            <v>0</v>
          </cell>
          <cell r="P139">
            <v>0</v>
          </cell>
          <cell r="Q139">
            <v>0</v>
          </cell>
          <cell r="R139">
            <v>14</v>
          </cell>
          <cell r="S139" t="b">
            <v>0</v>
          </cell>
          <cell r="T139" t="b">
            <v>0</v>
          </cell>
          <cell r="U139" t="b">
            <v>0</v>
          </cell>
          <cell r="V139">
            <v>0</v>
          </cell>
          <cell r="W139" t="str">
            <v>off</v>
          </cell>
          <cell r="AA139">
            <v>0</v>
          </cell>
        </row>
        <row r="140">
          <cell r="L140">
            <v>0</v>
          </cell>
          <cell r="M140">
            <v>0</v>
          </cell>
          <cell r="N140">
            <v>0</v>
          </cell>
          <cell r="O140">
            <v>0</v>
          </cell>
          <cell r="P140">
            <v>0</v>
          </cell>
          <cell r="Q140">
            <v>0</v>
          </cell>
          <cell r="R140">
            <v>14</v>
          </cell>
          <cell r="S140" t="b">
            <v>0</v>
          </cell>
          <cell r="T140" t="b">
            <v>0</v>
          </cell>
          <cell r="U140" t="b">
            <v>0</v>
          </cell>
          <cell r="V140">
            <v>0</v>
          </cell>
          <cell r="W140" t="str">
            <v>off</v>
          </cell>
          <cell r="AA140">
            <v>0</v>
          </cell>
        </row>
        <row r="141">
          <cell r="L141">
            <v>0</v>
          </cell>
          <cell r="M141">
            <v>0</v>
          </cell>
          <cell r="N141">
            <v>0</v>
          </cell>
          <cell r="O141">
            <v>0</v>
          </cell>
          <cell r="P141">
            <v>0</v>
          </cell>
          <cell r="Q141">
            <v>0</v>
          </cell>
          <cell r="R141">
            <v>14</v>
          </cell>
          <cell r="S141" t="b">
            <v>0</v>
          </cell>
          <cell r="T141" t="b">
            <v>0</v>
          </cell>
          <cell r="U141" t="b">
            <v>0</v>
          </cell>
          <cell r="V141">
            <v>0</v>
          </cell>
          <cell r="W141" t="str">
            <v>off</v>
          </cell>
          <cell r="AA141">
            <v>0</v>
          </cell>
        </row>
        <row r="142">
          <cell r="L142">
            <v>0</v>
          </cell>
          <cell r="M142">
            <v>0</v>
          </cell>
          <cell r="N142">
            <v>0</v>
          </cell>
          <cell r="O142">
            <v>0</v>
          </cell>
          <cell r="P142">
            <v>0</v>
          </cell>
          <cell r="Q142">
            <v>0</v>
          </cell>
          <cell r="R142">
            <v>14</v>
          </cell>
          <cell r="S142" t="b">
            <v>0</v>
          </cell>
          <cell r="T142" t="b">
            <v>0</v>
          </cell>
          <cell r="U142" t="b">
            <v>0</v>
          </cell>
          <cell r="V142">
            <v>0</v>
          </cell>
          <cell r="W142" t="str">
            <v>off</v>
          </cell>
          <cell r="AA142">
            <v>0</v>
          </cell>
        </row>
        <row r="143">
          <cell r="L143">
            <v>0</v>
          </cell>
          <cell r="M143">
            <v>0</v>
          </cell>
          <cell r="N143">
            <v>0</v>
          </cell>
          <cell r="O143">
            <v>0</v>
          </cell>
          <cell r="P143">
            <v>0</v>
          </cell>
          <cell r="Q143">
            <v>0</v>
          </cell>
          <cell r="R143">
            <v>14</v>
          </cell>
          <cell r="S143" t="b">
            <v>0</v>
          </cell>
          <cell r="T143" t="b">
            <v>0</v>
          </cell>
          <cell r="U143" t="b">
            <v>0</v>
          </cell>
          <cell r="V143">
            <v>0</v>
          </cell>
          <cell r="W143" t="str">
            <v>off</v>
          </cell>
          <cell r="AA143">
            <v>0</v>
          </cell>
        </row>
        <row r="144">
          <cell r="L144">
            <v>0</v>
          </cell>
          <cell r="M144">
            <v>0</v>
          </cell>
          <cell r="N144">
            <v>0</v>
          </cell>
          <cell r="O144">
            <v>0</v>
          </cell>
          <cell r="P144">
            <v>0</v>
          </cell>
          <cell r="Q144">
            <v>0</v>
          </cell>
          <cell r="R144">
            <v>14</v>
          </cell>
          <cell r="S144" t="b">
            <v>0</v>
          </cell>
          <cell r="T144" t="b">
            <v>0</v>
          </cell>
          <cell r="U144" t="b">
            <v>0</v>
          </cell>
          <cell r="V144">
            <v>0</v>
          </cell>
          <cell r="W144" t="str">
            <v>off</v>
          </cell>
          <cell r="AA144">
            <v>0</v>
          </cell>
        </row>
        <row r="145">
          <cell r="L145">
            <v>0</v>
          </cell>
          <cell r="M145">
            <v>0</v>
          </cell>
          <cell r="N145">
            <v>0</v>
          </cell>
          <cell r="O145">
            <v>0</v>
          </cell>
          <cell r="P145">
            <v>0</v>
          </cell>
          <cell r="Q145">
            <v>0</v>
          </cell>
          <cell r="R145">
            <v>14</v>
          </cell>
          <cell r="S145" t="b">
            <v>0</v>
          </cell>
          <cell r="T145" t="b">
            <v>0</v>
          </cell>
          <cell r="U145" t="b">
            <v>0</v>
          </cell>
          <cell r="V145">
            <v>0</v>
          </cell>
          <cell r="W145" t="str">
            <v>off</v>
          </cell>
          <cell r="AA145">
            <v>0</v>
          </cell>
        </row>
        <row r="146">
          <cell r="L146">
            <v>0</v>
          </cell>
          <cell r="M146">
            <v>0</v>
          </cell>
          <cell r="N146">
            <v>0</v>
          </cell>
          <cell r="O146">
            <v>0</v>
          </cell>
          <cell r="P146">
            <v>0</v>
          </cell>
          <cell r="Q146">
            <v>0</v>
          </cell>
          <cell r="R146">
            <v>14</v>
          </cell>
          <cell r="S146" t="b">
            <v>0</v>
          </cell>
          <cell r="T146" t="b">
            <v>0</v>
          </cell>
          <cell r="U146" t="b">
            <v>0</v>
          </cell>
          <cell r="V146">
            <v>0</v>
          </cell>
          <cell r="W146" t="str">
            <v>off</v>
          </cell>
          <cell r="AA146">
            <v>0</v>
          </cell>
        </row>
        <row r="147">
          <cell r="L147">
            <v>0</v>
          </cell>
          <cell r="M147">
            <v>0</v>
          </cell>
          <cell r="N147">
            <v>0</v>
          </cell>
          <cell r="O147">
            <v>0</v>
          </cell>
          <cell r="P147">
            <v>0</v>
          </cell>
          <cell r="Q147">
            <v>0</v>
          </cell>
          <cell r="R147">
            <v>14</v>
          </cell>
          <cell r="S147" t="b">
            <v>0</v>
          </cell>
          <cell r="T147" t="b">
            <v>0</v>
          </cell>
          <cell r="U147" t="b">
            <v>0</v>
          </cell>
          <cell r="V147">
            <v>0</v>
          </cell>
          <cell r="W147" t="str">
            <v>off</v>
          </cell>
          <cell r="AA147">
            <v>0</v>
          </cell>
        </row>
        <row r="148">
          <cell r="L148">
            <v>0</v>
          </cell>
          <cell r="M148">
            <v>0</v>
          </cell>
          <cell r="N148">
            <v>0</v>
          </cell>
          <cell r="O148">
            <v>0</v>
          </cell>
          <cell r="P148">
            <v>0</v>
          </cell>
          <cell r="Q148">
            <v>0</v>
          </cell>
          <cell r="R148">
            <v>14</v>
          </cell>
          <cell r="S148" t="b">
            <v>0</v>
          </cell>
          <cell r="T148" t="b">
            <v>0</v>
          </cell>
          <cell r="U148" t="b">
            <v>0</v>
          </cell>
          <cell r="V148">
            <v>0</v>
          </cell>
          <cell r="W148" t="str">
            <v>off</v>
          </cell>
          <cell r="AA148">
            <v>0</v>
          </cell>
        </row>
        <row r="149">
          <cell r="L149">
            <v>0</v>
          </cell>
          <cell r="M149">
            <v>0</v>
          </cell>
          <cell r="N149">
            <v>0</v>
          </cell>
          <cell r="O149">
            <v>0</v>
          </cell>
          <cell r="P149">
            <v>0</v>
          </cell>
          <cell r="Q149">
            <v>0</v>
          </cell>
          <cell r="R149">
            <v>14</v>
          </cell>
          <cell r="S149" t="b">
            <v>0</v>
          </cell>
          <cell r="T149" t="b">
            <v>0</v>
          </cell>
          <cell r="U149" t="b">
            <v>0</v>
          </cell>
          <cell r="V149">
            <v>0</v>
          </cell>
          <cell r="W149" t="str">
            <v>off</v>
          </cell>
          <cell r="AA149">
            <v>0</v>
          </cell>
        </row>
        <row r="150">
          <cell r="L150">
            <v>0</v>
          </cell>
          <cell r="M150">
            <v>0</v>
          </cell>
          <cell r="N150">
            <v>0</v>
          </cell>
          <cell r="O150">
            <v>0</v>
          </cell>
          <cell r="P150">
            <v>0</v>
          </cell>
          <cell r="Q150">
            <v>0</v>
          </cell>
          <cell r="R150">
            <v>14</v>
          </cell>
          <cell r="S150" t="b">
            <v>0</v>
          </cell>
          <cell r="T150" t="b">
            <v>0</v>
          </cell>
          <cell r="U150" t="b">
            <v>0</v>
          </cell>
          <cell r="V150">
            <v>0</v>
          </cell>
          <cell r="W150" t="str">
            <v>off</v>
          </cell>
          <cell r="AA150">
            <v>0</v>
          </cell>
        </row>
        <row r="151">
          <cell r="L151">
            <v>0</v>
          </cell>
          <cell r="M151">
            <v>0</v>
          </cell>
          <cell r="N151">
            <v>0</v>
          </cell>
          <cell r="O151">
            <v>0</v>
          </cell>
          <cell r="P151">
            <v>0</v>
          </cell>
          <cell r="Q151">
            <v>0</v>
          </cell>
          <cell r="R151">
            <v>14</v>
          </cell>
          <cell r="S151" t="b">
            <v>0</v>
          </cell>
          <cell r="T151" t="b">
            <v>0</v>
          </cell>
          <cell r="U151" t="b">
            <v>0</v>
          </cell>
          <cell r="V151">
            <v>0</v>
          </cell>
          <cell r="W151" t="str">
            <v>off</v>
          </cell>
          <cell r="AA151">
            <v>0</v>
          </cell>
        </row>
        <row r="152">
          <cell r="L152">
            <v>0</v>
          </cell>
          <cell r="M152">
            <v>0</v>
          </cell>
          <cell r="N152">
            <v>0</v>
          </cell>
          <cell r="O152">
            <v>0</v>
          </cell>
          <cell r="P152">
            <v>0</v>
          </cell>
          <cell r="Q152">
            <v>0</v>
          </cell>
          <cell r="R152">
            <v>14</v>
          </cell>
          <cell r="S152" t="b">
            <v>0</v>
          </cell>
          <cell r="T152" t="b">
            <v>0</v>
          </cell>
          <cell r="U152" t="b">
            <v>0</v>
          </cell>
          <cell r="V152">
            <v>0</v>
          </cell>
          <cell r="W152" t="str">
            <v>off</v>
          </cell>
          <cell r="AA152">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articipation"/>
      <sheetName val="Costs"/>
      <sheetName val="Measures"/>
      <sheetName val="Measure Inputs"/>
      <sheetName val="Program Inputs"/>
      <sheetName val="Program Totals"/>
      <sheetName val="CFL"/>
    </sheetNames>
    <sheetDataSet>
      <sheetData sheetId="0"/>
      <sheetData sheetId="1">
        <row r="29">
          <cell r="G29">
            <v>0.05</v>
          </cell>
        </row>
      </sheetData>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1"/>
      <sheetName val="INSTRUCTIONS-2"/>
      <sheetName val="PST set-up"/>
      <sheetName val="Yr 1 Inputs"/>
      <sheetName val="meas non-resource"/>
      <sheetName val="Yr X changes"/>
      <sheetName val="no_with_in prgm"/>
      <sheetName val="bdgts"/>
      <sheetName val="SaveEst"/>
      <sheetName val="Yr 1 Copy"/>
      <sheetName val="In Prgm Copy"/>
      <sheetName val="HVAC QAQC"/>
      <sheetName val="Penetrations"/>
      <sheetName val="cross check"/>
    </sheetNames>
    <sheetDataSet>
      <sheetData sheetId="0"/>
      <sheetData sheetId="1"/>
      <sheetData sheetId="2"/>
      <sheetData sheetId="3">
        <row r="17">
          <cell r="C17" t="str">
            <v>Indoor Lighting</v>
          </cell>
        </row>
        <row r="18">
          <cell r="C18" t="str">
            <v>Outdoor Lighting</v>
          </cell>
        </row>
        <row r="19">
          <cell r="C19" t="str">
            <v>Cooling</v>
          </cell>
        </row>
        <row r="20">
          <cell r="C20" t="str">
            <v>Space Heating</v>
          </cell>
        </row>
        <row r="21">
          <cell r="C21" t="str">
            <v>Ventilation</v>
          </cell>
        </row>
        <row r="22">
          <cell r="C22" t="str">
            <v>Water Heating</v>
          </cell>
        </row>
        <row r="23">
          <cell r="C23" t="str">
            <v>Refrigeration</v>
          </cell>
        </row>
        <row r="24">
          <cell r="C24" t="str">
            <v>Miscellaneous</v>
          </cell>
        </row>
        <row r="25">
          <cell r="C25" t="str">
            <v>Elec Total</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205.254.135.24/state/seds/hf.jsp?incfile=sep_use/ind/use_ind_VT.html&amp;mstate=Vermont" TargetMode="External"/><Relationship Id="rId1" Type="http://schemas.openxmlformats.org/officeDocument/2006/relationships/hyperlink" Target="http://www.eia.gov/state/seds/hf.jsp?incfile=sep_sum/html/sum_btu_com.html" TargetMode="External"/><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hyperlink" Target="http://www.vtlmi.info/indareanaics.cfm" TargetMode="External"/><Relationship Id="rId2" Type="http://schemas.openxmlformats.org/officeDocument/2006/relationships/hyperlink" Target="http://205.254.135.24/state/seds/hf.jsp?incfile=sep_use/com/use_com_VT.html&amp;mstate=Vermont" TargetMode="External"/><Relationship Id="rId1" Type="http://schemas.openxmlformats.org/officeDocument/2006/relationships/hyperlink" Target="http://205.254.135.24/state/seds/hf.jsp?incfile=sep_use/ind/use_ind_VT.html&amp;mstate=Vermont" TargetMode="External"/><Relationship Id="rId4"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housingdata.org/profile/resultsMain.php?county=007000"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eia.gov/emeu/cbec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9"/>
  <sheetViews>
    <sheetView workbookViewId="0">
      <selection activeCell="B19" sqref="B19:B23"/>
    </sheetView>
  </sheetViews>
  <sheetFormatPr defaultRowHeight="15"/>
  <sheetData>
    <row r="3" spans="2:2" ht="26.25">
      <c r="B3" s="161" t="s">
        <v>325</v>
      </c>
    </row>
    <row r="4" spans="2:2" ht="26.25">
      <c r="B4" s="161"/>
    </row>
    <row r="5" spans="2:2" ht="26.25">
      <c r="B5" s="162" t="s">
        <v>326</v>
      </c>
    </row>
    <row r="6" spans="2:2" ht="15.75">
      <c r="B6" s="403" t="s">
        <v>474</v>
      </c>
    </row>
    <row r="7" spans="2:2">
      <c r="B7" s="43" t="s">
        <v>323</v>
      </c>
    </row>
    <row r="8" spans="2:2">
      <c r="B8" s="163" t="s">
        <v>320</v>
      </c>
    </row>
    <row r="9" spans="2:2">
      <c r="B9" s="43" t="s">
        <v>321</v>
      </c>
    </row>
    <row r="10" spans="2:2">
      <c r="B10" s="43" t="s">
        <v>324</v>
      </c>
    </row>
    <row r="11" spans="2:2">
      <c r="B11" s="163" t="s">
        <v>319</v>
      </c>
    </row>
    <row r="12" spans="2:2">
      <c r="B12" s="43" t="s">
        <v>165</v>
      </c>
    </row>
    <row r="13" spans="2:2">
      <c r="B13" s="163" t="s">
        <v>166</v>
      </c>
    </row>
    <row r="14" spans="2:2">
      <c r="B14" s="43" t="s">
        <v>322</v>
      </c>
    </row>
    <row r="19" spans="2:2">
      <c r="B19" s="404"/>
    </row>
    <row r="20" spans="2:2">
      <c r="B20" s="43"/>
    </row>
    <row r="25" spans="2:2">
      <c r="B25" s="402" t="s">
        <v>475</v>
      </c>
    </row>
    <row r="29" spans="2:2">
      <c r="B29" t="s">
        <v>476</v>
      </c>
    </row>
  </sheetData>
  <hyperlinks>
    <hyperlink ref="B12" location="'C&amp;I Building Summary'!A1" display="C&amp;I Building Summary Data"/>
    <hyperlink ref="B11" location="'Table of Contents'!A1" display="C&amp;I Methods References "/>
    <hyperlink ref="B13" location="'C&amp;I Building Type &amp; End Use'!A1" display="C&amp;I Building Type &amp; End Use"/>
    <hyperlink ref="B14" location="'Table of Contents'!A1" display="C&amp;I Calculations and References "/>
    <hyperlink ref="B7" location="'RES Method and References'!A1" display="Residential Method and References"/>
    <hyperlink ref="B8" location="'Residential Summary'!A1" display="Residential Summary"/>
    <hyperlink ref="B9" location="'Residential Detailed'!A1" display="Residential Detailed"/>
    <hyperlink ref="B10" location="'RES Calculations &amp; References '!A1" display="Residential Calculations &amp; References"/>
  </hyperlinks>
  <pageMargins left="0.7" right="0.7" top="0.75" bottom="0.75" header="0.3" footer="0.3"/>
  <pageSetup orientation="portrait" horizont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K85"/>
  <sheetViews>
    <sheetView zoomScale="60" zoomScaleNormal="60" workbookViewId="0">
      <pane xSplit="1" ySplit="3" topLeftCell="B31" activePane="bottomRight" state="frozen"/>
      <selection pane="topRight" activeCell="B1" sqref="B1"/>
      <selection pane="bottomLeft" activeCell="A4" sqref="A4"/>
      <selection pane="bottomRight" activeCell="A17" sqref="A17"/>
    </sheetView>
  </sheetViews>
  <sheetFormatPr defaultRowHeight="15"/>
  <cols>
    <col min="1" max="1" width="27.5703125" customWidth="1"/>
    <col min="2" max="2" width="16.140625" customWidth="1"/>
    <col min="3" max="4" width="13.42578125" bestFit="1" customWidth="1"/>
    <col min="5" max="5" width="12.5703125" bestFit="1" customWidth="1"/>
    <col min="6" max="9" width="13.42578125" bestFit="1" customWidth="1"/>
    <col min="10" max="10" width="13.7109375" customWidth="1"/>
    <col min="11" max="11" width="13.140625" customWidth="1"/>
    <col min="12" max="12" width="15" customWidth="1"/>
    <col min="14" max="14" width="20.5703125" bestFit="1" customWidth="1"/>
    <col min="15" max="16" width="19.42578125" bestFit="1" customWidth="1"/>
    <col min="17" max="17" width="12.28515625" customWidth="1"/>
    <col min="18" max="19" width="19.42578125" bestFit="1" customWidth="1"/>
    <col min="20" max="20" width="20.140625" bestFit="1" customWidth="1"/>
    <col min="21" max="21" width="15.28515625" customWidth="1"/>
    <col min="22" max="22" width="12" customWidth="1"/>
    <col min="34" max="34" width="11.5703125" customWidth="1"/>
    <col min="35" max="35" width="17.42578125" customWidth="1"/>
    <col min="36" max="36" width="14" bestFit="1" customWidth="1"/>
    <col min="37" max="37" width="16.85546875" bestFit="1" customWidth="1"/>
  </cols>
  <sheetData>
    <row r="1" spans="1:37">
      <c r="A1" s="75" t="s">
        <v>145</v>
      </c>
      <c r="B1" s="75"/>
      <c r="C1" s="75"/>
      <c r="D1" s="75"/>
      <c r="E1" s="75"/>
      <c r="F1" s="75"/>
      <c r="G1" s="75"/>
      <c r="H1" s="75"/>
      <c r="I1" s="75"/>
      <c r="J1" s="75"/>
      <c r="K1" s="75"/>
      <c r="L1" s="75"/>
      <c r="N1" s="75" t="s">
        <v>113</v>
      </c>
      <c r="O1" s="75"/>
      <c r="P1" s="75"/>
      <c r="Q1" s="75"/>
      <c r="R1" s="75"/>
      <c r="S1" s="75"/>
      <c r="T1" s="75"/>
      <c r="U1" s="75"/>
      <c r="V1" s="75"/>
      <c r="W1" s="75"/>
    </row>
    <row r="2" spans="1:37">
      <c r="A2" s="85">
        <f>'C&amp;I Building Summary'!B7</f>
        <v>776436439</v>
      </c>
      <c r="B2" s="85"/>
      <c r="C2" s="83">
        <f>C18</f>
        <v>0.1280952380952381</v>
      </c>
      <c r="D2" s="83">
        <f t="shared" ref="D2:L2" si="0">D18</f>
        <v>0.12571428571428572</v>
      </c>
      <c r="E2" s="83">
        <f t="shared" si="0"/>
        <v>1.8571428571428572E-2</v>
      </c>
      <c r="F2" s="83">
        <f t="shared" si="0"/>
        <v>6.2857142857142861E-2</v>
      </c>
      <c r="G2" s="83">
        <f t="shared" si="0"/>
        <v>0.12761904761904763</v>
      </c>
      <c r="H2" s="83">
        <f t="shared" si="0"/>
        <v>0.11571428571428571</v>
      </c>
      <c r="I2" s="83">
        <f t="shared" si="0"/>
        <v>0.10238095238095238</v>
      </c>
      <c r="J2" s="83">
        <f t="shared" si="0"/>
        <v>1.8571428571428572E-2</v>
      </c>
      <c r="K2" s="83">
        <f t="shared" si="0"/>
        <v>0.15023809523809528</v>
      </c>
      <c r="L2" s="83">
        <f t="shared" si="0"/>
        <v>0.15023809523809528</v>
      </c>
      <c r="N2" s="85"/>
      <c r="O2" s="83"/>
      <c r="P2" s="83"/>
      <c r="Q2" s="83"/>
      <c r="R2" s="83"/>
      <c r="S2" s="83"/>
      <c r="T2" s="83"/>
      <c r="U2" s="83"/>
      <c r="V2" s="84" t="s">
        <v>2</v>
      </c>
      <c r="W2" s="83"/>
      <c r="Y2" s="83"/>
      <c r="Z2" s="83"/>
      <c r="AA2" s="83"/>
      <c r="AB2" s="83"/>
      <c r="AC2" s="83"/>
      <c r="AD2" s="83"/>
      <c r="AE2" s="83"/>
      <c r="AF2" s="84"/>
      <c r="AG2" s="84" t="s">
        <v>2</v>
      </c>
      <c r="AH2" s="83"/>
    </row>
    <row r="3" spans="1:37" ht="30.75" thickBot="1">
      <c r="A3" s="79"/>
      <c r="B3" s="79" t="s">
        <v>23</v>
      </c>
      <c r="C3" s="79" t="s">
        <v>3</v>
      </c>
      <c r="D3" s="79" t="s">
        <v>4</v>
      </c>
      <c r="E3" s="79" t="s">
        <v>5</v>
      </c>
      <c r="F3" s="79" t="s">
        <v>6</v>
      </c>
      <c r="G3" s="79" t="s">
        <v>7</v>
      </c>
      <c r="H3" s="79" t="s">
        <v>8</v>
      </c>
      <c r="I3" s="79" t="s">
        <v>9</v>
      </c>
      <c r="J3" s="79" t="s">
        <v>10</v>
      </c>
      <c r="K3" s="79" t="s">
        <v>126</v>
      </c>
      <c r="L3" s="79" t="s">
        <v>12</v>
      </c>
      <c r="N3" s="79" t="s">
        <v>3</v>
      </c>
      <c r="O3" s="79" t="s">
        <v>4</v>
      </c>
      <c r="P3" s="79" t="s">
        <v>5</v>
      </c>
      <c r="Q3" s="79" t="s">
        <v>6</v>
      </c>
      <c r="R3" s="79" t="s">
        <v>7</v>
      </c>
      <c r="S3" s="79" t="s">
        <v>8</v>
      </c>
      <c r="T3" s="79" t="s">
        <v>9</v>
      </c>
      <c r="U3" s="79" t="s">
        <v>10</v>
      </c>
      <c r="V3" s="79" t="s">
        <v>11</v>
      </c>
      <c r="W3" s="79" t="s">
        <v>12</v>
      </c>
      <c r="Y3" s="79" t="s">
        <v>3</v>
      </c>
      <c r="Z3" s="79" t="s">
        <v>4</v>
      </c>
      <c r="AA3" s="79" t="s">
        <v>5</v>
      </c>
      <c r="AB3" s="79" t="s">
        <v>6</v>
      </c>
      <c r="AC3" s="79" t="s">
        <v>7</v>
      </c>
      <c r="AD3" s="79" t="s">
        <v>8</v>
      </c>
      <c r="AE3" s="79" t="s">
        <v>9</v>
      </c>
      <c r="AF3" s="79" t="s">
        <v>10</v>
      </c>
      <c r="AG3" s="79" t="s">
        <v>11</v>
      </c>
      <c r="AH3" s="79" t="s">
        <v>12</v>
      </c>
    </row>
    <row r="4" spans="1:37" ht="15.75" thickTop="1">
      <c r="A4" s="8" t="s">
        <v>13</v>
      </c>
      <c r="B4" s="8">
        <f t="shared" ref="B4:B14" si="1">SUM(C4:L4)</f>
        <v>248695049.99182948</v>
      </c>
      <c r="C4" s="27">
        <f t="shared" ref="C4:C14" si="2">$A$2*C$2*N4</f>
        <v>47359725.277213901</v>
      </c>
      <c r="D4" s="27">
        <f t="shared" ref="D4:D14" si="3">$A$2*D$2*O4</f>
        <v>32933544.563804384</v>
      </c>
      <c r="E4" s="27">
        <f t="shared" ref="E4:E14" si="4">$A$2*E$2*P4</f>
        <v>3357233.1443618829</v>
      </c>
      <c r="F4" s="27">
        <f t="shared" ref="F4:F14" si="5">$A$2*F$2*Q4</f>
        <v>9342065.7304896433</v>
      </c>
      <c r="G4" s="27">
        <f t="shared" ref="G4:G14" si="6">$A$2*G$2*R4</f>
        <v>49295602.740709655</v>
      </c>
      <c r="H4" s="27">
        <f t="shared" ref="H4:H14" si="7">$A$2*H$2*S4</f>
        <v>31745823.242817514</v>
      </c>
      <c r="I4" s="27">
        <f t="shared" ref="I4:I14" si="8">$A$2*I$2*T4</f>
        <v>25987285.919101615</v>
      </c>
      <c r="J4" s="27">
        <f t="shared" ref="J4:J14" si="9">$A$2*J$2*U4</f>
        <v>3210364.4875050918</v>
      </c>
      <c r="K4" s="27">
        <f t="shared" ref="K4:K14" si="10">$A$2*K$2*V4</f>
        <v>34308677.447089925</v>
      </c>
      <c r="L4" s="27">
        <f t="shared" ref="L4:L14" si="11">$A$2*L$2*W4</f>
        <v>11154727.438735867</v>
      </c>
      <c r="N4" s="41">
        <f t="shared" ref="N4:N12" si="12">Y4/Y$15</f>
        <v>0.47617904546488155</v>
      </c>
      <c r="O4" s="41">
        <f t="shared" ref="O4:O12" si="13">Z4/Z$15</f>
        <v>0.33740221871797071</v>
      </c>
      <c r="P4" s="41">
        <f t="shared" ref="P4:P12" si="14">AA4/AA$15</f>
        <v>0.2328253586623808</v>
      </c>
      <c r="Q4" s="41">
        <f t="shared" ref="Q4:Q12" si="15">AB4/AB$15</f>
        <v>0.19141782317233891</v>
      </c>
      <c r="R4" s="41">
        <f t="shared" ref="R4:R12" si="16">AC4/AC$15</f>
        <v>0.49749276902886752</v>
      </c>
      <c r="S4" s="41">
        <f t="shared" ref="S4:S12" si="17">AD4/AD$15</f>
        <v>0.35334073317100134</v>
      </c>
      <c r="T4" s="41">
        <f t="shared" ref="T4:T12" si="18">AE4/AE$15</f>
        <v>0.32691575456327704</v>
      </c>
      <c r="U4" s="41">
        <f t="shared" ref="U4:U12" si="19">AF4/AF$15</f>
        <v>0.22263996305875078</v>
      </c>
      <c r="V4" s="41">
        <f t="shared" ref="V4:V12" si="20">AG4/AG$15</f>
        <v>0.29411555849235121</v>
      </c>
      <c r="W4" s="41">
        <f t="shared" ref="W4:W12" si="21">AH4/AH$15</f>
        <v>9.562533838657282E-2</v>
      </c>
      <c r="Y4" s="9">
        <v>292707.50577132305</v>
      </c>
      <c r="Z4" s="9">
        <v>77521.461057762441</v>
      </c>
      <c r="AA4" s="9">
        <v>52332.208708380291</v>
      </c>
      <c r="AB4" s="9">
        <v>9338.2860687591656</v>
      </c>
      <c r="AC4" s="9">
        <v>137625.16847227194</v>
      </c>
      <c r="AD4" s="9">
        <v>50686.438919036205</v>
      </c>
      <c r="AE4" s="9">
        <v>30229.847891512727</v>
      </c>
      <c r="AF4" s="9">
        <v>17269.435379530118</v>
      </c>
      <c r="AG4" s="9">
        <v>93201.461653445163</v>
      </c>
      <c r="AH4" s="9">
        <v>132477.27628531674</v>
      </c>
    </row>
    <row r="5" spans="1:37">
      <c r="A5" s="8" t="s">
        <v>14</v>
      </c>
      <c r="B5" s="8">
        <f t="shared" si="1"/>
        <v>28014715.791926011</v>
      </c>
      <c r="C5" s="27">
        <f t="shared" si="2"/>
        <v>5203856.7970036538</v>
      </c>
      <c r="D5" s="27">
        <f t="shared" si="3"/>
        <v>2567158.1722652805</v>
      </c>
      <c r="E5" s="27">
        <f t="shared" si="4"/>
        <v>403840.95700248389</v>
      </c>
      <c r="F5" s="27">
        <f t="shared" si="5"/>
        <v>1632135.4809658036</v>
      </c>
      <c r="G5" s="27">
        <f t="shared" si="6"/>
        <v>5148053.9188275561</v>
      </c>
      <c r="H5" s="27">
        <f t="shared" si="7"/>
        <v>2152379.3683794504</v>
      </c>
      <c r="I5" s="27">
        <f t="shared" si="8"/>
        <v>5399146.188140789</v>
      </c>
      <c r="J5" s="27">
        <f t="shared" si="9"/>
        <v>933964.24698725517</v>
      </c>
      <c r="K5" s="27">
        <f t="shared" si="10"/>
        <v>4574180.6623537401</v>
      </c>
      <c r="L5" s="27">
        <f t="shared" si="11"/>
        <v>0</v>
      </c>
      <c r="N5" s="41">
        <f t="shared" si="12"/>
        <v>5.2322253725685261E-2</v>
      </c>
      <c r="O5" s="41">
        <f t="shared" si="13"/>
        <v>2.6300383836431462E-2</v>
      </c>
      <c r="P5" s="41">
        <f t="shared" si="14"/>
        <v>2.800651953962937E-2</v>
      </c>
      <c r="Q5" s="41">
        <f t="shared" si="15"/>
        <v>3.3442263189089952E-2</v>
      </c>
      <c r="R5" s="41">
        <f t="shared" si="16"/>
        <v>5.1954321618881256E-2</v>
      </c>
      <c r="S5" s="41">
        <f t="shared" si="17"/>
        <v>2.3956641422345226E-2</v>
      </c>
      <c r="T5" s="41">
        <f t="shared" si="18"/>
        <v>6.7920365196586313E-2</v>
      </c>
      <c r="U5" s="41">
        <f t="shared" si="19"/>
        <v>6.4770765517978182E-2</v>
      </c>
      <c r="V5" s="41">
        <f t="shared" si="20"/>
        <v>3.9212753165079967E-2</v>
      </c>
      <c r="W5" s="41">
        <f t="shared" si="21"/>
        <v>0</v>
      </c>
      <c r="Y5" s="9">
        <v>32162.516453087275</v>
      </c>
      <c r="Z5" s="9">
        <v>6042.7705221593833</v>
      </c>
      <c r="AA5" s="9">
        <v>6295.0317532573354</v>
      </c>
      <c r="AB5" s="9">
        <v>1631.4751430711315</v>
      </c>
      <c r="AC5" s="9">
        <v>14372.514960606863</v>
      </c>
      <c r="AD5" s="9">
        <v>3436.5606004765305</v>
      </c>
      <c r="AE5" s="9">
        <v>6280.5853800826308</v>
      </c>
      <c r="AF5" s="9">
        <v>5024.0510923021257</v>
      </c>
      <c r="AG5" s="9">
        <v>12426.020334236262</v>
      </c>
      <c r="AH5" s="9">
        <v>0</v>
      </c>
    </row>
    <row r="6" spans="1:37">
      <c r="A6" s="8" t="s">
        <v>15</v>
      </c>
      <c r="B6" s="8">
        <f t="shared" si="1"/>
        <v>48796470.651636153</v>
      </c>
      <c r="C6" s="27">
        <f t="shared" si="2"/>
        <v>5095042.6750904499</v>
      </c>
      <c r="D6" s="27">
        <f t="shared" si="3"/>
        <v>7673488.5728993947</v>
      </c>
      <c r="E6" s="27">
        <f t="shared" si="4"/>
        <v>428165.13139678538</v>
      </c>
      <c r="F6" s="27">
        <f t="shared" si="5"/>
        <v>295062.03574532206</v>
      </c>
      <c r="G6" s="27">
        <f t="shared" si="6"/>
        <v>3641249.5154879871</v>
      </c>
      <c r="H6" s="27">
        <f t="shared" si="7"/>
        <v>7280096.0456879232</v>
      </c>
      <c r="I6" s="27">
        <f t="shared" si="8"/>
        <v>4002181.3815736738</v>
      </c>
      <c r="J6" s="27">
        <f t="shared" si="9"/>
        <v>559642.23426069657</v>
      </c>
      <c r="K6" s="27">
        <f t="shared" si="10"/>
        <v>5622665.1137539325</v>
      </c>
      <c r="L6" s="27">
        <f t="shared" si="11"/>
        <v>14198877.945739992</v>
      </c>
      <c r="N6" s="41">
        <f t="shared" si="12"/>
        <v>5.1228180556923485E-2</v>
      </c>
      <c r="O6" s="41">
        <f t="shared" si="13"/>
        <v>7.8614437167165679E-2</v>
      </c>
      <c r="P6" s="41">
        <f t="shared" si="14"/>
        <v>2.9693410018781952E-2</v>
      </c>
      <c r="Q6" s="41">
        <f t="shared" si="15"/>
        <v>6.0457862546218809E-3</v>
      </c>
      <c r="R6" s="41">
        <f t="shared" si="16"/>
        <v>3.6747604319059449E-2</v>
      </c>
      <c r="S6" s="41">
        <f t="shared" si="17"/>
        <v>8.1029698132672412E-2</v>
      </c>
      <c r="T6" s="41">
        <f t="shared" si="18"/>
        <v>5.0346779203077584E-2</v>
      </c>
      <c r="U6" s="41">
        <f t="shared" si="19"/>
        <v>3.8811395667645548E-2</v>
      </c>
      <c r="V6" s="41">
        <f t="shared" si="20"/>
        <v>4.8201021234278614E-2</v>
      </c>
      <c r="W6" s="41">
        <f t="shared" si="21"/>
        <v>0.12172171088251219</v>
      </c>
      <c r="Y6" s="9">
        <v>31489.989109833561</v>
      </c>
      <c r="Z6" s="9">
        <v>18062.436141021593</v>
      </c>
      <c r="AA6" s="9">
        <v>6674.1945091116286</v>
      </c>
      <c r="AB6" s="9">
        <v>294.94265800630836</v>
      </c>
      <c r="AC6" s="9">
        <v>10165.766319046708</v>
      </c>
      <c r="AD6" s="9">
        <v>11623.643864014919</v>
      </c>
      <c r="AE6" s="9">
        <v>4655.5586749552685</v>
      </c>
      <c r="AF6" s="9">
        <v>3010.4698198090905</v>
      </c>
      <c r="AG6" s="9">
        <v>15274.287614200946</v>
      </c>
      <c r="AH6" s="9">
        <v>168630.6265115214</v>
      </c>
    </row>
    <row r="7" spans="1:37">
      <c r="A7" s="8" t="s">
        <v>16</v>
      </c>
      <c r="B7" s="8">
        <f t="shared" si="1"/>
        <v>108115739.77615055</v>
      </c>
      <c r="C7" s="27">
        <f t="shared" si="2"/>
        <v>12468456.773033611</v>
      </c>
      <c r="D7" s="27">
        <f t="shared" si="3"/>
        <v>26082486.129464813</v>
      </c>
      <c r="E7" s="27">
        <f t="shared" si="4"/>
        <v>661747.04884138063</v>
      </c>
      <c r="F7" s="27">
        <f t="shared" si="5"/>
        <v>5241141.6365885232</v>
      </c>
      <c r="G7" s="27">
        <f t="shared" si="6"/>
        <v>20438643.878334098</v>
      </c>
      <c r="H7" s="27">
        <f t="shared" si="7"/>
        <v>10082415.762153905</v>
      </c>
      <c r="I7" s="27">
        <f t="shared" si="8"/>
        <v>19545802.344772857</v>
      </c>
      <c r="J7" s="27">
        <f t="shared" si="9"/>
        <v>1167951.3897465363</v>
      </c>
      <c r="K7" s="27">
        <f t="shared" si="10"/>
        <v>12427094.813214835</v>
      </c>
      <c r="L7" s="27">
        <f t="shared" si="11"/>
        <v>0</v>
      </c>
      <c r="N7" s="41">
        <f t="shared" si="12"/>
        <v>0.12536427966696514</v>
      </c>
      <c r="O7" s="41">
        <f t="shared" si="13"/>
        <v>0.26721352974055768</v>
      </c>
      <c r="P7" s="41">
        <f t="shared" si="14"/>
        <v>4.5892402274478085E-2</v>
      </c>
      <c r="Q7" s="41">
        <f t="shared" si="15"/>
        <v>0.10739037295995367</v>
      </c>
      <c r="R7" s="41">
        <f t="shared" si="16"/>
        <v>0.20626743508362189</v>
      </c>
      <c r="S7" s="41">
        <f t="shared" si="17"/>
        <v>0.11222037463905878</v>
      </c>
      <c r="T7" s="41">
        <f t="shared" si="18"/>
        <v>0.24588295761156523</v>
      </c>
      <c r="U7" s="41">
        <f t="shared" si="19"/>
        <v>8.0997860298930635E-2</v>
      </c>
      <c r="V7" s="41">
        <f t="shared" si="20"/>
        <v>0.10653287166381578</v>
      </c>
      <c r="W7" s="41">
        <f t="shared" si="21"/>
        <v>0</v>
      </c>
      <c r="Y7" s="9">
        <v>77061.48761399505</v>
      </c>
      <c r="Z7" s="9">
        <v>61394.923004952296</v>
      </c>
      <c r="AA7" s="9">
        <v>10315.245674933367</v>
      </c>
      <c r="AB7" s="9">
        <v>5239.0211481398946</v>
      </c>
      <c r="AC7" s="9">
        <v>57061.312788808915</v>
      </c>
      <c r="AD7" s="9">
        <v>16097.920875319081</v>
      </c>
      <c r="AE7" s="9">
        <v>22736.758030039124</v>
      </c>
      <c r="AF7" s="9">
        <v>6282.7324218674758</v>
      </c>
      <c r="AG7" s="9">
        <v>33758.905527144139</v>
      </c>
      <c r="AH7" s="9">
        <v>0</v>
      </c>
    </row>
    <row r="8" spans="1:37">
      <c r="A8" s="8" t="s">
        <v>17</v>
      </c>
      <c r="B8" s="8">
        <f t="shared" si="1"/>
        <v>42075240.577081755</v>
      </c>
      <c r="C8" s="27">
        <f t="shared" si="2"/>
        <v>2015827.9721948134</v>
      </c>
      <c r="D8" s="27">
        <f t="shared" si="3"/>
        <v>6701005.9870886207</v>
      </c>
      <c r="E8" s="27">
        <f t="shared" si="4"/>
        <v>312066.11046878732</v>
      </c>
      <c r="F8" s="27">
        <f t="shared" si="5"/>
        <v>334447.12681456772</v>
      </c>
      <c r="G8" s="27">
        <f t="shared" si="6"/>
        <v>7036007.6439685123</v>
      </c>
      <c r="H8" s="27">
        <f t="shared" si="7"/>
        <v>7147514.4339551292</v>
      </c>
      <c r="I8" s="27">
        <f t="shared" si="8"/>
        <v>8685422.6169298794</v>
      </c>
      <c r="J8" s="27">
        <f t="shared" si="9"/>
        <v>2608667.1347193746</v>
      </c>
      <c r="K8" s="27">
        <f t="shared" si="10"/>
        <v>7234281.5509420717</v>
      </c>
      <c r="L8" s="27">
        <f t="shared" si="11"/>
        <v>0</v>
      </c>
      <c r="N8" s="41">
        <f t="shared" si="12"/>
        <v>2.0268171616336771E-2</v>
      </c>
      <c r="O8" s="41">
        <f t="shared" si="13"/>
        <v>6.865141051871429E-2</v>
      </c>
      <c r="P8" s="41">
        <f t="shared" si="14"/>
        <v>2.1641900032557799E-2</v>
      </c>
      <c r="Q8" s="41">
        <f t="shared" si="15"/>
        <v>6.8527821177867378E-3</v>
      </c>
      <c r="R8" s="41">
        <f t="shared" si="16"/>
        <v>7.1007609829172008E-2</v>
      </c>
      <c r="S8" s="41">
        <f t="shared" si="17"/>
        <v>7.9554024197983769E-2</v>
      </c>
      <c r="T8" s="41">
        <f t="shared" si="18"/>
        <v>0.10926117861455931</v>
      </c>
      <c r="U8" s="41">
        <f t="shared" si="19"/>
        <v>0.18091202938699891</v>
      </c>
      <c r="V8" s="41">
        <f t="shared" si="20"/>
        <v>6.2016810817833307E-2</v>
      </c>
      <c r="W8" s="41">
        <f t="shared" si="21"/>
        <v>0</v>
      </c>
      <c r="Y8" s="9">
        <v>12458.855585657217</v>
      </c>
      <c r="Z8" s="9">
        <v>15773.333285444438</v>
      </c>
      <c r="AA8" s="9">
        <v>4864.4547821444585</v>
      </c>
      <c r="AB8" s="9">
        <v>334.31181444976988</v>
      </c>
      <c r="AC8" s="9">
        <v>19643.369459679714</v>
      </c>
      <c r="AD8" s="9">
        <v>11411.95964611069</v>
      </c>
      <c r="AE8" s="9">
        <v>10103.363829552669</v>
      </c>
      <c r="AF8" s="9">
        <v>14032.739486459568</v>
      </c>
      <c r="AG8" s="9">
        <v>19652.334765750144</v>
      </c>
      <c r="AH8" s="9">
        <v>0</v>
      </c>
    </row>
    <row r="9" spans="1:37">
      <c r="A9" s="8" t="s">
        <v>18</v>
      </c>
      <c r="B9" s="8">
        <f t="shared" si="1"/>
        <v>104979008.93951298</v>
      </c>
      <c r="C9" s="27">
        <f t="shared" si="2"/>
        <v>710070.02510570292</v>
      </c>
      <c r="D9" s="27">
        <f t="shared" si="3"/>
        <v>12109135.637070468</v>
      </c>
      <c r="E9" s="27">
        <f t="shared" si="4"/>
        <v>8822417.6985057257</v>
      </c>
      <c r="F9" s="27">
        <f t="shared" si="5"/>
        <v>29291991.231331185</v>
      </c>
      <c r="G9" s="27">
        <f t="shared" si="6"/>
        <v>2448337.2550847228</v>
      </c>
      <c r="H9" s="27">
        <f t="shared" si="7"/>
        <v>3531065.6124498989</v>
      </c>
      <c r="I9" s="27">
        <f t="shared" si="8"/>
        <v>2762690.2643412934</v>
      </c>
      <c r="J9" s="27">
        <f t="shared" si="9"/>
        <v>5118528.5494058616</v>
      </c>
      <c r="K9" s="27">
        <f t="shared" si="10"/>
        <v>40184772.666218117</v>
      </c>
      <c r="L9" s="27">
        <f t="shared" si="11"/>
        <v>0</v>
      </c>
      <c r="N9" s="41">
        <f t="shared" si="12"/>
        <v>7.1394093776708913E-3</v>
      </c>
      <c r="O9" s="41">
        <f t="shared" si="13"/>
        <v>0.12405737933215841</v>
      </c>
      <c r="P9" s="41">
        <f t="shared" si="14"/>
        <v>0.61183792623206579</v>
      </c>
      <c r="Q9" s="41">
        <f t="shared" si="15"/>
        <v>0.60018943985644335</v>
      </c>
      <c r="R9" s="41">
        <f t="shared" si="16"/>
        <v>2.4708696371060965E-2</v>
      </c>
      <c r="S9" s="41">
        <f t="shared" si="17"/>
        <v>3.9301841468554234E-2</v>
      </c>
      <c r="T9" s="41">
        <f t="shared" si="18"/>
        <v>3.4754186151001329E-2</v>
      </c>
      <c r="U9" s="41">
        <f t="shared" si="19"/>
        <v>0.35497184559268052</v>
      </c>
      <c r="V9" s="41">
        <f t="shared" si="20"/>
        <v>0.3444891419624046</v>
      </c>
      <c r="W9" s="41">
        <f t="shared" si="21"/>
        <v>0</v>
      </c>
      <c r="Y9" s="9">
        <v>4388.5986406190168</v>
      </c>
      <c r="Z9" s="9">
        <v>28503.396739263215</v>
      </c>
      <c r="AA9" s="9">
        <v>137522.94954137466</v>
      </c>
      <c r="AB9" s="9">
        <v>29280.14012457808</v>
      </c>
      <c r="AC9" s="9">
        <v>6835.3526171556468</v>
      </c>
      <c r="AD9" s="9">
        <v>5637.8169851066796</v>
      </c>
      <c r="AE9" s="9">
        <v>3213.7140724269807</v>
      </c>
      <c r="AF9" s="9">
        <v>27533.975773242906</v>
      </c>
      <c r="AG9" s="9">
        <v>109164.20647455225</v>
      </c>
      <c r="AH9" s="9">
        <v>0</v>
      </c>
    </row>
    <row r="10" spans="1:37">
      <c r="A10" s="8" t="s">
        <v>19</v>
      </c>
      <c r="B10" s="8">
        <f t="shared" si="1"/>
        <v>16519497.598554919</v>
      </c>
      <c r="C10" s="27">
        <f t="shared" si="2"/>
        <v>3113834.0186345237</v>
      </c>
      <c r="D10" s="27">
        <f t="shared" si="3"/>
        <v>3023088.5568944877</v>
      </c>
      <c r="E10" s="27">
        <f t="shared" si="4"/>
        <v>64065.591010849552</v>
      </c>
      <c r="F10" s="27">
        <f t="shared" si="5"/>
        <v>501162.5379182655</v>
      </c>
      <c r="G10" s="27">
        <f t="shared" si="6"/>
        <v>2280268.2056634855</v>
      </c>
      <c r="H10" s="27">
        <f t="shared" si="7"/>
        <v>2021359.1304432447</v>
      </c>
      <c r="I10" s="27">
        <f t="shared" si="8"/>
        <v>3992895.5009083673</v>
      </c>
      <c r="J10" s="27">
        <f t="shared" si="9"/>
        <v>127620.3423994576</v>
      </c>
      <c r="K10" s="27">
        <f t="shared" si="10"/>
        <v>1395203.7146822361</v>
      </c>
      <c r="L10" s="27">
        <f t="shared" si="11"/>
        <v>0</v>
      </c>
      <c r="N10" s="41">
        <f t="shared" si="12"/>
        <v>3.1308089353357223E-2</v>
      </c>
      <c r="O10" s="41">
        <f t="shared" si="13"/>
        <v>3.0971363695790462E-2</v>
      </c>
      <c r="P10" s="41">
        <f t="shared" si="14"/>
        <v>4.4429724012669319E-3</v>
      </c>
      <c r="Q10" s="41">
        <f t="shared" si="15"/>
        <v>1.0268761196011314E-2</v>
      </c>
      <c r="R10" s="41">
        <f t="shared" si="16"/>
        <v>2.3012538252771622E-2</v>
      </c>
      <c r="S10" s="41">
        <f t="shared" si="17"/>
        <v>2.2498346056100717E-2</v>
      </c>
      <c r="T10" s="41">
        <f t="shared" si="18"/>
        <v>5.0229964361622678E-2</v>
      </c>
      <c r="U10" s="41">
        <f t="shared" si="19"/>
        <v>8.8505178860365467E-3</v>
      </c>
      <c r="V10" s="41">
        <f t="shared" si="20"/>
        <v>1.1960563632544658E-2</v>
      </c>
      <c r="W10" s="41">
        <f t="shared" si="21"/>
        <v>0</v>
      </c>
      <c r="Y10" s="9">
        <v>19245.098734112114</v>
      </c>
      <c r="Z10" s="9">
        <v>7115.9738479844755</v>
      </c>
      <c r="AA10" s="9">
        <v>998.64791500584499</v>
      </c>
      <c r="AB10" s="9">
        <v>500.959774961981</v>
      </c>
      <c r="AC10" s="9">
        <v>6366.1316328168032</v>
      </c>
      <c r="AD10" s="9">
        <v>3227.3693239890449</v>
      </c>
      <c r="AE10" s="9">
        <v>4644.7568251228231</v>
      </c>
      <c r="AF10" s="9">
        <v>686.50499491841435</v>
      </c>
      <c r="AG10" s="9">
        <v>3790.1497576884958</v>
      </c>
      <c r="AH10" s="9">
        <v>0</v>
      </c>
    </row>
    <row r="11" spans="1:37">
      <c r="A11" s="8" t="s">
        <v>20</v>
      </c>
      <c r="B11" s="8">
        <f t="shared" si="1"/>
        <v>30872434.023940433</v>
      </c>
      <c r="C11" s="27">
        <f t="shared" si="2"/>
        <v>13694300.265006384</v>
      </c>
      <c r="D11" s="27">
        <f t="shared" si="3"/>
        <v>2680210.4271551771</v>
      </c>
      <c r="E11" s="27">
        <f t="shared" si="4"/>
        <v>138785.57969537587</v>
      </c>
      <c r="F11" s="27">
        <f t="shared" si="5"/>
        <v>771363.22545340459</v>
      </c>
      <c r="G11" s="27">
        <f t="shared" si="6"/>
        <v>4699737.5623247763</v>
      </c>
      <c r="H11" s="27">
        <f t="shared" si="7"/>
        <v>2196917.6238908195</v>
      </c>
      <c r="I11" s="27">
        <f t="shared" si="8"/>
        <v>3315228.3172099623</v>
      </c>
      <c r="J11" s="27">
        <f t="shared" si="9"/>
        <v>150504.18355362423</v>
      </c>
      <c r="K11" s="27">
        <f t="shared" si="10"/>
        <v>3225386.8396509076</v>
      </c>
      <c r="L11" s="27">
        <f t="shared" si="11"/>
        <v>0</v>
      </c>
      <c r="N11" s="41">
        <f t="shared" si="12"/>
        <v>0.13768954085630267</v>
      </c>
      <c r="O11" s="41">
        <f t="shared" si="13"/>
        <v>2.7458597509940598E-2</v>
      </c>
      <c r="P11" s="41">
        <f t="shared" si="14"/>
        <v>9.6248312167441369E-3</v>
      </c>
      <c r="Q11" s="41">
        <f t="shared" si="15"/>
        <v>1.5805141362856361E-2</v>
      </c>
      <c r="R11" s="41">
        <f t="shared" si="16"/>
        <v>4.7429898887494035E-2</v>
      </c>
      <c r="S11" s="41">
        <f t="shared" si="17"/>
        <v>2.4452365843670637E-2</v>
      </c>
      <c r="T11" s="41">
        <f t="shared" si="18"/>
        <v>4.1705023381206754E-2</v>
      </c>
      <c r="U11" s="41">
        <f t="shared" si="19"/>
        <v>1.0437520722952863E-2</v>
      </c>
      <c r="V11" s="41">
        <f t="shared" si="20"/>
        <v>2.7650044311989936E-2</v>
      </c>
      <c r="W11" s="41">
        <f t="shared" si="21"/>
        <v>0</v>
      </c>
      <c r="Y11" s="9">
        <v>84637.832048028213</v>
      </c>
      <c r="Z11" s="9">
        <v>6308.8814461736602</v>
      </c>
      <c r="AA11" s="9">
        <v>2163.3754970307386</v>
      </c>
      <c r="AB11" s="9">
        <v>771.05114329217247</v>
      </c>
      <c r="AC11" s="9">
        <v>13120.889852844117</v>
      </c>
      <c r="AD11" s="9">
        <v>3507.6718629021534</v>
      </c>
      <c r="AE11" s="9">
        <v>3856.4568869128539</v>
      </c>
      <c r="AF11" s="9">
        <v>809.60348344998658</v>
      </c>
      <c r="AG11" s="9">
        <v>8761.9456715242341</v>
      </c>
      <c r="AH11" s="9">
        <v>0</v>
      </c>
    </row>
    <row r="12" spans="1:37">
      <c r="A12" s="8" t="s">
        <v>21</v>
      </c>
      <c r="B12" s="8">
        <f t="shared" si="1"/>
        <v>57071555.365034096</v>
      </c>
      <c r="C12" s="27">
        <f t="shared" si="2"/>
        <v>9796696.7162407748</v>
      </c>
      <c r="D12" s="27">
        <f t="shared" si="3"/>
        <v>3839034.284785945</v>
      </c>
      <c r="E12" s="27">
        <f t="shared" si="4"/>
        <v>231212.60585958484</v>
      </c>
      <c r="F12" s="27">
        <f t="shared" si="5"/>
        <v>1395207.1604075767</v>
      </c>
      <c r="G12" s="27">
        <f t="shared" si="6"/>
        <v>4100178.1615039716</v>
      </c>
      <c r="H12" s="27">
        <f t="shared" si="7"/>
        <v>23687216.721650712</v>
      </c>
      <c r="I12" s="27">
        <f t="shared" si="8"/>
        <v>5801649.5551167941</v>
      </c>
      <c r="J12" s="27">
        <f t="shared" si="9"/>
        <v>542291.29856495815</v>
      </c>
      <c r="K12" s="27">
        <f t="shared" si="10"/>
        <v>7678068.8609037856</v>
      </c>
      <c r="L12" s="27">
        <f t="shared" si="11"/>
        <v>0</v>
      </c>
      <c r="N12" s="41">
        <f t="shared" si="12"/>
        <v>9.8501029381877048E-2</v>
      </c>
      <c r="O12" s="41">
        <f t="shared" si="13"/>
        <v>3.9330679481270711E-2</v>
      </c>
      <c r="P12" s="41">
        <f t="shared" si="14"/>
        <v>1.6034679622095038E-2</v>
      </c>
      <c r="Q12" s="41">
        <f t="shared" si="15"/>
        <v>2.8587629890897893E-2</v>
      </c>
      <c r="R12" s="41">
        <f t="shared" si="16"/>
        <v>4.1379126609071198E-2</v>
      </c>
      <c r="S12" s="41">
        <f t="shared" si="17"/>
        <v>0.26364597506861315</v>
      </c>
      <c r="T12" s="41">
        <f t="shared" si="18"/>
        <v>7.2983790917103775E-2</v>
      </c>
      <c r="U12" s="41">
        <f t="shared" si="19"/>
        <v>3.7608101868025906E-2</v>
      </c>
      <c r="V12" s="41">
        <f t="shared" si="20"/>
        <v>6.582123471970186E-2</v>
      </c>
      <c r="W12" s="41">
        <f t="shared" si="21"/>
        <v>0</v>
      </c>
      <c r="Y12" s="9">
        <v>60548.633756298732</v>
      </c>
      <c r="Z12" s="9">
        <v>9036.6084413074113</v>
      </c>
      <c r="AA12" s="9">
        <v>3604.1185778749714</v>
      </c>
      <c r="AB12" s="9">
        <v>1394.6426802098972</v>
      </c>
      <c r="AC12" s="9">
        <v>11447.019183666662</v>
      </c>
      <c r="AD12" s="9">
        <v>37819.799295819554</v>
      </c>
      <c r="AE12" s="9">
        <v>6748.7995520967506</v>
      </c>
      <c r="AF12" s="9">
        <v>2917.1343546498679</v>
      </c>
      <c r="AG12" s="9">
        <v>20857.90807924989</v>
      </c>
      <c r="AH12" s="9">
        <v>0</v>
      </c>
    </row>
    <row r="13" spans="1:37">
      <c r="A13" s="8" t="s">
        <v>130</v>
      </c>
      <c r="B13" s="8">
        <f t="shared" si="1"/>
        <v>0</v>
      </c>
      <c r="C13" s="27">
        <f t="shared" si="2"/>
        <v>0</v>
      </c>
      <c r="D13" s="27">
        <f t="shared" si="3"/>
        <v>0</v>
      </c>
      <c r="E13" s="27">
        <f t="shared" si="4"/>
        <v>0</v>
      </c>
      <c r="F13" s="27">
        <f t="shared" si="5"/>
        <v>0</v>
      </c>
      <c r="G13" s="27">
        <f t="shared" si="6"/>
        <v>0</v>
      </c>
      <c r="H13" s="27">
        <f t="shared" si="7"/>
        <v>0</v>
      </c>
      <c r="I13" s="27">
        <f t="shared" si="8"/>
        <v>0</v>
      </c>
      <c r="J13" s="27">
        <f t="shared" si="9"/>
        <v>0</v>
      </c>
      <c r="K13" s="27">
        <f t="shared" si="10"/>
        <v>0</v>
      </c>
      <c r="L13" s="27">
        <f t="shared" si="11"/>
        <v>0</v>
      </c>
      <c r="N13" s="41">
        <v>0</v>
      </c>
      <c r="O13" s="41">
        <v>0</v>
      </c>
      <c r="P13" s="41">
        <v>0</v>
      </c>
      <c r="Q13" s="41">
        <v>0</v>
      </c>
      <c r="R13" s="41">
        <v>0</v>
      </c>
      <c r="S13" s="41">
        <v>0</v>
      </c>
      <c r="T13" s="41">
        <v>0</v>
      </c>
      <c r="U13" s="41">
        <v>0</v>
      </c>
      <c r="V13" s="41">
        <v>0</v>
      </c>
      <c r="W13" s="41">
        <v>0</v>
      </c>
      <c r="Y13" s="9"/>
      <c r="Z13" s="9"/>
      <c r="AA13" s="9"/>
      <c r="AB13" s="9"/>
      <c r="AC13" s="9"/>
      <c r="AD13" s="9"/>
      <c r="AE13" s="9"/>
      <c r="AF13" s="9"/>
      <c r="AG13" s="9"/>
      <c r="AH13" s="9"/>
    </row>
    <row r="14" spans="1:37" ht="15.75" thickBot="1">
      <c r="A14" s="10" t="s">
        <v>22</v>
      </c>
      <c r="B14" s="10">
        <f t="shared" si="1"/>
        <v>91296726.284333706</v>
      </c>
      <c r="C14" s="91">
        <f t="shared" si="2"/>
        <v>0</v>
      </c>
      <c r="D14" s="91">
        <f t="shared" si="3"/>
        <v>0</v>
      </c>
      <c r="E14" s="91">
        <f t="shared" si="4"/>
        <v>0</v>
      </c>
      <c r="F14" s="91">
        <f t="shared" si="5"/>
        <v>0</v>
      </c>
      <c r="G14" s="91">
        <f t="shared" si="6"/>
        <v>0</v>
      </c>
      <c r="H14" s="91">
        <f t="shared" si="7"/>
        <v>0</v>
      </c>
      <c r="I14" s="91">
        <f t="shared" si="8"/>
        <v>0</v>
      </c>
      <c r="J14" s="91">
        <f t="shared" si="9"/>
        <v>0</v>
      </c>
      <c r="K14" s="91">
        <f t="shared" si="10"/>
        <v>0</v>
      </c>
      <c r="L14" s="91">
        <f t="shared" si="11"/>
        <v>91296726.284333706</v>
      </c>
      <c r="N14" s="87">
        <f t="shared" ref="N14:W14" si="22">Y14/Y$15</f>
        <v>0</v>
      </c>
      <c r="O14" s="87">
        <f t="shared" si="22"/>
        <v>0</v>
      </c>
      <c r="P14" s="87">
        <f t="shared" si="22"/>
        <v>0</v>
      </c>
      <c r="Q14" s="87">
        <f t="shared" si="22"/>
        <v>0</v>
      </c>
      <c r="R14" s="87">
        <f t="shared" si="22"/>
        <v>0</v>
      </c>
      <c r="S14" s="87">
        <f t="shared" si="22"/>
        <v>0</v>
      </c>
      <c r="T14" s="87">
        <f t="shared" si="22"/>
        <v>0</v>
      </c>
      <c r="U14" s="87">
        <f t="shared" si="22"/>
        <v>0</v>
      </c>
      <c r="V14" s="87">
        <f t="shared" si="22"/>
        <v>0</v>
      </c>
      <c r="W14" s="87">
        <f t="shared" si="22"/>
        <v>0.78265295073091501</v>
      </c>
      <c r="Y14" s="11">
        <v>0</v>
      </c>
      <c r="Z14" s="11">
        <v>0</v>
      </c>
      <c r="AA14" s="11">
        <v>0</v>
      </c>
      <c r="AB14" s="11">
        <v>0</v>
      </c>
      <c r="AC14" s="11">
        <v>0</v>
      </c>
      <c r="AD14" s="11">
        <v>0</v>
      </c>
      <c r="AE14" s="11">
        <v>0</v>
      </c>
      <c r="AF14" s="11">
        <v>0</v>
      </c>
      <c r="AG14" s="11">
        <v>0</v>
      </c>
      <c r="AH14" s="11">
        <v>1084270.476203162</v>
      </c>
    </row>
    <row r="15" spans="1:37">
      <c r="A15" s="8" t="s">
        <v>23</v>
      </c>
      <c r="B15" s="8">
        <f>SUM(B4:B14)</f>
        <v>776436439.00000024</v>
      </c>
      <c r="C15" s="27">
        <f>SUM(C4:C14)</f>
        <v>99457810.519523814</v>
      </c>
      <c r="D15" s="27">
        <f t="shared" ref="D15:L15" si="23">SUM(D4:D14)</f>
        <v>97609152.331428558</v>
      </c>
      <c r="E15" s="27">
        <f t="shared" si="23"/>
        <v>14419533.867142856</v>
      </c>
      <c r="F15" s="27">
        <f t="shared" si="23"/>
        <v>48804576.165714294</v>
      </c>
      <c r="G15" s="27">
        <f t="shared" si="23"/>
        <v>99088078.881904766</v>
      </c>
      <c r="H15" s="27">
        <f t="shared" si="23"/>
        <v>89844787.941428602</v>
      </c>
      <c r="I15" s="27">
        <f t="shared" si="23"/>
        <v>79492302.088095233</v>
      </c>
      <c r="J15" s="27">
        <f t="shared" si="23"/>
        <v>14419533.867142856</v>
      </c>
      <c r="K15" s="27">
        <f t="shared" si="23"/>
        <v>116650331.66880955</v>
      </c>
      <c r="L15" s="27">
        <f t="shared" si="23"/>
        <v>116650331.66880956</v>
      </c>
      <c r="N15" s="12">
        <f t="shared" ref="N15:W15" si="24">SUM(N4:N14)</f>
        <v>1</v>
      </c>
      <c r="O15" s="12">
        <f t="shared" si="24"/>
        <v>1</v>
      </c>
      <c r="P15" s="12">
        <f t="shared" si="24"/>
        <v>0.99999999999999989</v>
      </c>
      <c r="Q15" s="12">
        <f t="shared" si="24"/>
        <v>1</v>
      </c>
      <c r="R15" s="12">
        <f t="shared" si="24"/>
        <v>0.99999999999999989</v>
      </c>
      <c r="S15" s="12">
        <f t="shared" si="24"/>
        <v>1.0000000000000002</v>
      </c>
      <c r="T15" s="12">
        <f t="shared" si="24"/>
        <v>1</v>
      </c>
      <c r="U15" s="12">
        <f t="shared" si="24"/>
        <v>0.99999999999999989</v>
      </c>
      <c r="V15" s="12">
        <f t="shared" si="24"/>
        <v>0.99999999999999978</v>
      </c>
      <c r="W15" s="12">
        <f t="shared" si="24"/>
        <v>1</v>
      </c>
      <c r="Y15" s="12">
        <f t="shared" ref="Y15:AH15" si="25">SUM(Y4:Y14)</f>
        <v>614700.5177129542</v>
      </c>
      <c r="Z15" s="12">
        <f t="shared" si="25"/>
        <v>229759.78448606891</v>
      </c>
      <c r="AA15" s="12">
        <f t="shared" si="25"/>
        <v>224770.22695911332</v>
      </c>
      <c r="AB15" s="12">
        <f t="shared" si="25"/>
        <v>48784.830555468398</v>
      </c>
      <c r="AC15" s="12">
        <f t="shared" si="25"/>
        <v>276637.52528689738</v>
      </c>
      <c r="AD15" s="12">
        <f t="shared" si="25"/>
        <v>143449.18137277482</v>
      </c>
      <c r="AE15" s="12">
        <f t="shared" si="25"/>
        <v>92469.841142701829</v>
      </c>
      <c r="AF15" s="12">
        <f t="shared" si="25"/>
        <v>77566.646806229561</v>
      </c>
      <c r="AG15" s="12">
        <f t="shared" si="25"/>
        <v>316887.21987779153</v>
      </c>
      <c r="AH15" s="12">
        <f t="shared" si="25"/>
        <v>1385378.3790000002</v>
      </c>
      <c r="AI15" s="12"/>
      <c r="AJ15" s="12"/>
      <c r="AK15" s="90">
        <f>AJ15*0.25</f>
        <v>0</v>
      </c>
    </row>
    <row r="16" spans="1:37">
      <c r="A16" s="13"/>
      <c r="B16" s="13"/>
      <c r="C16" s="14"/>
      <c r="D16" s="14"/>
      <c r="E16" s="14"/>
      <c r="F16" s="14"/>
      <c r="G16" s="14"/>
      <c r="H16" s="14"/>
      <c r="I16" s="14"/>
      <c r="J16" s="14"/>
      <c r="K16" s="14"/>
      <c r="L16" s="14"/>
      <c r="Y16" t="s">
        <v>157</v>
      </c>
    </row>
    <row r="17" spans="1:24">
      <c r="A17" s="75" t="s">
        <v>134</v>
      </c>
      <c r="B17" s="75"/>
      <c r="C17" s="75"/>
      <c r="D17" s="75"/>
      <c r="E17" s="75"/>
      <c r="F17" s="75"/>
      <c r="G17" s="75"/>
      <c r="H17" s="75"/>
      <c r="I17" s="75"/>
      <c r="J17" s="75"/>
      <c r="K17" s="75"/>
      <c r="L17" s="75"/>
      <c r="N17" s="75" t="s">
        <v>1</v>
      </c>
      <c r="O17" s="75"/>
      <c r="P17" s="75"/>
      <c r="Q17" s="75"/>
      <c r="R17" s="75"/>
      <c r="S17" s="75"/>
      <c r="T17" s="75"/>
      <c r="U17" s="75"/>
      <c r="V17" s="75"/>
      <c r="W17" s="75"/>
    </row>
    <row r="18" spans="1:24">
      <c r="A18" s="86">
        <f>'C&amp;I Building Summary'!B8</f>
        <v>36745856</v>
      </c>
      <c r="B18" s="86"/>
      <c r="C18" s="80">
        <f>'C&amp;I Calculations and References'!U91</f>
        <v>0.1280952380952381</v>
      </c>
      <c r="D18" s="80">
        <f>'C&amp;I Calculations and References'!U88</f>
        <v>0.12571428571428572</v>
      </c>
      <c r="E18" s="80">
        <f>'C&amp;I Calculations and References'!U82</f>
        <v>1.8571428571428572E-2</v>
      </c>
      <c r="F18" s="80">
        <f>'C&amp;I Calculations and References'!U96</f>
        <v>6.2857142857142861E-2</v>
      </c>
      <c r="G18" s="80">
        <f>'C&amp;I Calculations and References'!U81</f>
        <v>0.12761904761904763</v>
      </c>
      <c r="H18" s="80">
        <f>'C&amp;I Calculations and References'!U84</f>
        <v>0.11571428571428571</v>
      </c>
      <c r="I18" s="80">
        <f>'C&amp;I Calculations and References'!U87</f>
        <v>0.10238095238095238</v>
      </c>
      <c r="J18" s="81">
        <f>'C&amp;I Calculations and References'!U82</f>
        <v>1.8571428571428572E-2</v>
      </c>
      <c r="K18" s="81">
        <f>(1-SUM(C18:J18))/2</f>
        <v>0.15023809523809528</v>
      </c>
      <c r="L18" s="80">
        <f>K18</f>
        <v>0.15023809523809528</v>
      </c>
      <c r="N18" s="76"/>
      <c r="O18" s="76"/>
      <c r="P18" s="76"/>
      <c r="Q18" s="76"/>
      <c r="R18" s="76"/>
      <c r="S18" s="76"/>
      <c r="T18" s="76"/>
      <c r="U18" s="76"/>
      <c r="V18" s="77" t="s">
        <v>2</v>
      </c>
      <c r="W18" s="76"/>
    </row>
    <row r="19" spans="1:24" ht="30.75" thickBot="1">
      <c r="A19" s="78"/>
      <c r="B19" s="78"/>
      <c r="C19" s="79" t="s">
        <v>3</v>
      </c>
      <c r="D19" s="79" t="s">
        <v>4</v>
      </c>
      <c r="E19" s="79" t="s">
        <v>5</v>
      </c>
      <c r="F19" s="79" t="s">
        <v>6</v>
      </c>
      <c r="G19" s="79" t="s">
        <v>7</v>
      </c>
      <c r="H19" s="79" t="s">
        <v>8</v>
      </c>
      <c r="I19" s="79" t="s">
        <v>9</v>
      </c>
      <c r="J19" s="79" t="s">
        <v>10</v>
      </c>
      <c r="K19" s="79" t="s">
        <v>126</v>
      </c>
      <c r="L19" s="79" t="s">
        <v>12</v>
      </c>
      <c r="N19" s="79" t="s">
        <v>3</v>
      </c>
      <c r="O19" s="79" t="s">
        <v>4</v>
      </c>
      <c r="P19" s="79" t="s">
        <v>5</v>
      </c>
      <c r="Q19" s="79" t="s">
        <v>6</v>
      </c>
      <c r="R19" s="79" t="s">
        <v>7</v>
      </c>
      <c r="S19" s="79" t="s">
        <v>8</v>
      </c>
      <c r="T19" s="79" t="s">
        <v>9</v>
      </c>
      <c r="U19" s="79" t="s">
        <v>10</v>
      </c>
      <c r="V19" s="79" t="s">
        <v>126</v>
      </c>
      <c r="W19" s="79" t="s">
        <v>12</v>
      </c>
    </row>
    <row r="20" spans="1:24" ht="15.75" thickTop="1">
      <c r="A20" s="8" t="s">
        <v>13</v>
      </c>
      <c r="B20" s="8">
        <f t="shared" ref="B20:B30" si="26">SUM(C20:L20)</f>
        <v>0</v>
      </c>
      <c r="C20" s="82">
        <f>$C$18*$A$18*N20</f>
        <v>0</v>
      </c>
      <c r="D20" s="82">
        <f>$D$18*$A$18*O20</f>
        <v>0</v>
      </c>
      <c r="E20" s="82">
        <f>$E$18*$A$18*P20</f>
        <v>0</v>
      </c>
      <c r="F20" s="82">
        <f t="shared" ref="F20:F30" si="27">F$18*$A$18*Q20</f>
        <v>0</v>
      </c>
      <c r="G20" s="82">
        <f t="shared" ref="G20:G30" si="28">G$18*$A$18*R20</f>
        <v>0</v>
      </c>
      <c r="H20" s="82">
        <f t="shared" ref="H20:H30" si="29">H$18*$A$18*S20</f>
        <v>0</v>
      </c>
      <c r="I20" s="82">
        <f t="shared" ref="I20:I30" si="30">I$18*$A$18*T20</f>
        <v>0</v>
      </c>
      <c r="J20" s="82">
        <f t="shared" ref="J20:J30" si="31">J$18*$A$18*U20</f>
        <v>0</v>
      </c>
      <c r="K20" s="82">
        <f t="shared" ref="K20:K30" si="32">K$18*$A$18*V20</f>
        <v>0</v>
      </c>
      <c r="L20" s="82">
        <f t="shared" ref="L20:L30" si="33">L$18*$A$18*W20</f>
        <v>0</v>
      </c>
      <c r="N20" s="41">
        <v>0</v>
      </c>
      <c r="O20" s="41">
        <v>0</v>
      </c>
      <c r="P20" s="41">
        <v>0</v>
      </c>
      <c r="Q20" s="41">
        <v>0</v>
      </c>
      <c r="R20" s="41">
        <v>0</v>
      </c>
      <c r="S20" s="41">
        <v>0</v>
      </c>
      <c r="T20" s="41">
        <v>0</v>
      </c>
      <c r="U20" s="41">
        <v>0</v>
      </c>
      <c r="V20" s="41">
        <v>0</v>
      </c>
      <c r="W20" s="41">
        <v>0</v>
      </c>
      <c r="X20" s="41"/>
    </row>
    <row r="21" spans="1:24">
      <c r="A21" s="8" t="s">
        <v>14</v>
      </c>
      <c r="B21" s="8">
        <f t="shared" si="26"/>
        <v>0</v>
      </c>
      <c r="C21" s="82">
        <f t="shared" ref="C21:C30" si="34">$C$18*$A$18*N21</f>
        <v>0</v>
      </c>
      <c r="D21" s="82">
        <f t="shared" ref="D21:D30" si="35">$D$18*$A$18*O21</f>
        <v>0</v>
      </c>
      <c r="E21" s="82">
        <f t="shared" ref="E21:E30" si="36">$E$18*$A$18*P21</f>
        <v>0</v>
      </c>
      <c r="F21" s="82">
        <f t="shared" si="27"/>
        <v>0</v>
      </c>
      <c r="G21" s="82">
        <f t="shared" si="28"/>
        <v>0</v>
      </c>
      <c r="H21" s="82">
        <f t="shared" si="29"/>
        <v>0</v>
      </c>
      <c r="I21" s="82">
        <f t="shared" si="30"/>
        <v>0</v>
      </c>
      <c r="J21" s="82">
        <f t="shared" si="31"/>
        <v>0</v>
      </c>
      <c r="K21" s="82">
        <f t="shared" si="32"/>
        <v>0</v>
      </c>
      <c r="L21" s="82">
        <f t="shared" si="33"/>
        <v>0</v>
      </c>
      <c r="N21" s="41">
        <v>0</v>
      </c>
      <c r="O21" s="41">
        <v>0</v>
      </c>
      <c r="P21" s="41">
        <v>0</v>
      </c>
      <c r="Q21" s="41">
        <v>0</v>
      </c>
      <c r="R21" s="41">
        <v>0</v>
      </c>
      <c r="S21" s="41">
        <v>0</v>
      </c>
      <c r="T21" s="41">
        <v>0</v>
      </c>
      <c r="U21" s="41">
        <v>0</v>
      </c>
      <c r="V21" s="41">
        <v>0</v>
      </c>
      <c r="W21" s="41">
        <v>0</v>
      </c>
      <c r="X21" s="41"/>
    </row>
    <row r="22" spans="1:24">
      <c r="A22" s="8" t="s">
        <v>15</v>
      </c>
      <c r="B22" s="8">
        <f t="shared" si="26"/>
        <v>0</v>
      </c>
      <c r="C22" s="82">
        <f t="shared" si="34"/>
        <v>0</v>
      </c>
      <c r="D22" s="82">
        <f t="shared" si="35"/>
        <v>0</v>
      </c>
      <c r="E22" s="82">
        <f t="shared" si="36"/>
        <v>0</v>
      </c>
      <c r="F22" s="82">
        <f t="shared" si="27"/>
        <v>0</v>
      </c>
      <c r="G22" s="82">
        <f t="shared" si="28"/>
        <v>0</v>
      </c>
      <c r="H22" s="82">
        <f t="shared" si="29"/>
        <v>0</v>
      </c>
      <c r="I22" s="82">
        <f t="shared" si="30"/>
        <v>0</v>
      </c>
      <c r="J22" s="82">
        <f t="shared" si="31"/>
        <v>0</v>
      </c>
      <c r="K22" s="82">
        <f t="shared" si="32"/>
        <v>0</v>
      </c>
      <c r="L22" s="82">
        <f t="shared" si="33"/>
        <v>0</v>
      </c>
      <c r="N22" s="41">
        <v>0</v>
      </c>
      <c r="O22" s="41">
        <v>0</v>
      </c>
      <c r="P22" s="41">
        <v>0</v>
      </c>
      <c r="Q22" s="41">
        <v>0</v>
      </c>
      <c r="R22" s="41">
        <v>0</v>
      </c>
      <c r="S22" s="41">
        <v>0</v>
      </c>
      <c r="T22" s="41">
        <v>0</v>
      </c>
      <c r="U22" s="41">
        <v>0</v>
      </c>
      <c r="V22" s="41">
        <v>0</v>
      </c>
      <c r="W22" s="41">
        <v>0</v>
      </c>
      <c r="X22" s="41"/>
    </row>
    <row r="23" spans="1:24">
      <c r="A23" s="8" t="s">
        <v>16</v>
      </c>
      <c r="B23" s="8">
        <f t="shared" si="26"/>
        <v>0</v>
      </c>
      <c r="C23" s="82">
        <f t="shared" si="34"/>
        <v>0</v>
      </c>
      <c r="D23" s="82">
        <f t="shared" si="35"/>
        <v>0</v>
      </c>
      <c r="E23" s="82">
        <f t="shared" si="36"/>
        <v>0</v>
      </c>
      <c r="F23" s="82">
        <f t="shared" si="27"/>
        <v>0</v>
      </c>
      <c r="G23" s="82">
        <f t="shared" si="28"/>
        <v>0</v>
      </c>
      <c r="H23" s="82">
        <f t="shared" si="29"/>
        <v>0</v>
      </c>
      <c r="I23" s="82">
        <f t="shared" si="30"/>
        <v>0</v>
      </c>
      <c r="J23" s="82">
        <f t="shared" si="31"/>
        <v>0</v>
      </c>
      <c r="K23" s="82">
        <f t="shared" si="32"/>
        <v>0</v>
      </c>
      <c r="L23" s="82">
        <f t="shared" si="33"/>
        <v>0</v>
      </c>
      <c r="N23" s="41">
        <v>0</v>
      </c>
      <c r="O23" s="41">
        <v>0</v>
      </c>
      <c r="P23" s="41">
        <v>0</v>
      </c>
      <c r="Q23" s="41">
        <v>0</v>
      </c>
      <c r="R23" s="41">
        <v>0</v>
      </c>
      <c r="S23" s="41">
        <v>0</v>
      </c>
      <c r="T23" s="41">
        <v>0</v>
      </c>
      <c r="U23" s="41">
        <v>0</v>
      </c>
      <c r="V23" s="41">
        <v>0</v>
      </c>
      <c r="W23" s="41">
        <v>0</v>
      </c>
      <c r="X23" s="41"/>
    </row>
    <row r="24" spans="1:24">
      <c r="A24" s="8" t="s">
        <v>17</v>
      </c>
      <c r="B24" s="8">
        <f t="shared" si="26"/>
        <v>5174936.2979432959</v>
      </c>
      <c r="C24" s="82">
        <f t="shared" si="34"/>
        <v>227474.34666666665</v>
      </c>
      <c r="D24" s="82">
        <f t="shared" si="35"/>
        <v>332462.50666666671</v>
      </c>
      <c r="E24" s="82">
        <f t="shared" si="36"/>
        <v>34996.053333333337</v>
      </c>
      <c r="F24" s="82">
        <f t="shared" si="27"/>
        <v>69992.106666666674</v>
      </c>
      <c r="G24" s="82">
        <f t="shared" si="28"/>
        <v>647426.98666666681</v>
      </c>
      <c r="H24" s="82">
        <f t="shared" si="29"/>
        <v>1294853.9733333334</v>
      </c>
      <c r="I24" s="82">
        <f t="shared" si="30"/>
        <v>2169755.3066666671</v>
      </c>
      <c r="J24" s="82">
        <f t="shared" si="31"/>
        <v>188254.63172413793</v>
      </c>
      <c r="K24" s="82">
        <f t="shared" si="32"/>
        <v>126910.97501915712</v>
      </c>
      <c r="L24" s="82">
        <f t="shared" si="33"/>
        <v>82809.411200000017</v>
      </c>
      <c r="N24" s="41">
        <f>'C&amp;I Calculations and References'!P91</f>
        <v>4.8327137546468404E-2</v>
      </c>
      <c r="O24" s="41">
        <f>'C&amp;I Calculations and References'!P88</f>
        <v>7.1969696969696975E-2</v>
      </c>
      <c r="P24" s="41">
        <f>'C&amp;I Calculations and References'!P82</f>
        <v>5.128205128205128E-2</v>
      </c>
      <c r="Q24" s="41">
        <f>'C&amp;I Calculations and References'!P96</f>
        <v>3.0303030303030304E-2</v>
      </c>
      <c r="R24" s="41">
        <f>'C&amp;I Calculations and References'!P81</f>
        <v>0.13805970149253732</v>
      </c>
      <c r="S24" s="41">
        <f>'C&amp;I Calculations and References'!P84</f>
        <v>0.30452674897119342</v>
      </c>
      <c r="T24" s="41">
        <f>'C&amp;I Calculations and References'!P87</f>
        <v>0.57674418604651168</v>
      </c>
      <c r="U24" s="41">
        <f>'C&amp;I Calculations and References'!P83</f>
        <v>0.27586206896551724</v>
      </c>
      <c r="V24" s="41">
        <f>'C&amp;I Calculations and References'!P97</f>
        <v>2.2988505747126436E-2</v>
      </c>
      <c r="W24" s="41">
        <v>1.4999999999999999E-2</v>
      </c>
      <c r="X24" s="41"/>
    </row>
    <row r="25" spans="1:24">
      <c r="A25" s="8" t="s">
        <v>18</v>
      </c>
      <c r="B25" s="8">
        <f t="shared" si="26"/>
        <v>0</v>
      </c>
      <c r="C25" s="82">
        <f t="shared" si="34"/>
        <v>0</v>
      </c>
      <c r="D25" s="82">
        <f t="shared" si="35"/>
        <v>0</v>
      </c>
      <c r="E25" s="82">
        <f t="shared" si="36"/>
        <v>0</v>
      </c>
      <c r="F25" s="82">
        <f t="shared" si="27"/>
        <v>0</v>
      </c>
      <c r="G25" s="82">
        <f t="shared" si="28"/>
        <v>0</v>
      </c>
      <c r="H25" s="82">
        <f t="shared" si="29"/>
        <v>0</v>
      </c>
      <c r="I25" s="82">
        <f t="shared" si="30"/>
        <v>0</v>
      </c>
      <c r="J25" s="82">
        <f t="shared" si="31"/>
        <v>0</v>
      </c>
      <c r="K25" s="82">
        <f t="shared" si="32"/>
        <v>0</v>
      </c>
      <c r="L25" s="82">
        <f t="shared" si="33"/>
        <v>0</v>
      </c>
      <c r="N25" s="41">
        <v>0</v>
      </c>
      <c r="O25" s="41">
        <v>0</v>
      </c>
      <c r="P25" s="41">
        <v>0</v>
      </c>
      <c r="Q25" s="41">
        <v>0</v>
      </c>
      <c r="R25" s="41">
        <v>0</v>
      </c>
      <c r="S25" s="41">
        <v>0</v>
      </c>
      <c r="T25" s="41">
        <v>0</v>
      </c>
      <c r="U25" s="41">
        <v>0</v>
      </c>
      <c r="V25" s="41">
        <v>0</v>
      </c>
      <c r="W25" s="41">
        <v>0</v>
      </c>
      <c r="X25" s="41"/>
    </row>
    <row r="26" spans="1:24">
      <c r="A26" s="8" t="s">
        <v>19</v>
      </c>
      <c r="B26" s="8">
        <f t="shared" si="26"/>
        <v>24361239.739376027</v>
      </c>
      <c r="C26" s="82">
        <f t="shared" si="34"/>
        <v>4024546.1333333328</v>
      </c>
      <c r="D26" s="82">
        <f t="shared" si="35"/>
        <v>3289629.0133333337</v>
      </c>
      <c r="E26" s="82">
        <f t="shared" si="36"/>
        <v>472446.72000000003</v>
      </c>
      <c r="F26" s="82">
        <f t="shared" si="27"/>
        <v>1942280.9600000002</v>
      </c>
      <c r="G26" s="82">
        <f t="shared" si="28"/>
        <v>3622091.5200000005</v>
      </c>
      <c r="H26" s="82">
        <f t="shared" si="29"/>
        <v>2379731.6266666669</v>
      </c>
      <c r="I26" s="82">
        <f t="shared" si="30"/>
        <v>1119873.7066666668</v>
      </c>
      <c r="J26" s="82">
        <f t="shared" si="31"/>
        <v>181531.25201970444</v>
      </c>
      <c r="K26" s="82">
        <f t="shared" si="32"/>
        <v>4568795.1006896561</v>
      </c>
      <c r="L26" s="82">
        <f t="shared" si="33"/>
        <v>2760313.7066666675</v>
      </c>
      <c r="N26" s="41">
        <f>'C&amp;I Calculations and References'!O91</f>
        <v>0.85501858736059477</v>
      </c>
      <c r="O26" s="41">
        <f>'C&amp;I Calculations and References'!O88</f>
        <v>0.71212121212121215</v>
      </c>
      <c r="P26" s="41">
        <f>'C&amp;I Calculations and References'!O82</f>
        <v>0.69230769230769229</v>
      </c>
      <c r="Q26" s="41">
        <f>'C&amp;I Calculations and References'!O96</f>
        <v>0.84090909090909094</v>
      </c>
      <c r="R26" s="41">
        <f>'C&amp;I Calculations and References'!O81</f>
        <v>0.77238805970149249</v>
      </c>
      <c r="S26" s="41">
        <f>'C&amp;I Calculations and References'!O84</f>
        <v>0.55967078189300412</v>
      </c>
      <c r="T26" s="41">
        <f>'C&amp;I Calculations and References'!O87</f>
        <v>0.29767441860465116</v>
      </c>
      <c r="U26" s="41">
        <f>'C&amp;I Calculations and References'!O83</f>
        <v>0.26600985221674878</v>
      </c>
      <c r="V26" s="41">
        <f>'C&amp;I Calculations and References'!O97</f>
        <v>0.82758620689655171</v>
      </c>
      <c r="W26" s="41">
        <v>0.5</v>
      </c>
      <c r="X26" s="41"/>
    </row>
    <row r="27" spans="1:24">
      <c r="A27" s="8" t="s">
        <v>20</v>
      </c>
      <c r="B27" s="8">
        <f t="shared" si="26"/>
        <v>0</v>
      </c>
      <c r="C27" s="82">
        <f t="shared" si="34"/>
        <v>0</v>
      </c>
      <c r="D27" s="82">
        <f t="shared" si="35"/>
        <v>0</v>
      </c>
      <c r="E27" s="82">
        <f t="shared" si="36"/>
        <v>0</v>
      </c>
      <c r="F27" s="82">
        <f t="shared" si="27"/>
        <v>0</v>
      </c>
      <c r="G27" s="82">
        <f t="shared" si="28"/>
        <v>0</v>
      </c>
      <c r="H27" s="82">
        <f t="shared" si="29"/>
        <v>0</v>
      </c>
      <c r="I27" s="82">
        <f t="shared" si="30"/>
        <v>0</v>
      </c>
      <c r="J27" s="82">
        <f t="shared" si="31"/>
        <v>0</v>
      </c>
      <c r="K27" s="82">
        <f t="shared" si="32"/>
        <v>0</v>
      </c>
      <c r="L27" s="82">
        <f t="shared" si="33"/>
        <v>0</v>
      </c>
      <c r="N27" s="41">
        <v>0</v>
      </c>
      <c r="O27" s="41">
        <v>0</v>
      </c>
      <c r="P27" s="41">
        <v>0</v>
      </c>
      <c r="Q27" s="41">
        <v>0</v>
      </c>
      <c r="R27" s="41">
        <v>0</v>
      </c>
      <c r="S27" s="41">
        <v>0</v>
      </c>
      <c r="T27" s="41">
        <v>0</v>
      </c>
      <c r="U27" s="41">
        <v>0</v>
      </c>
      <c r="V27" s="41">
        <v>0</v>
      </c>
      <c r="W27" s="41">
        <v>0</v>
      </c>
      <c r="X27" s="41"/>
    </row>
    <row r="28" spans="1:24">
      <c r="A28" s="8" t="s">
        <v>21</v>
      </c>
      <c r="B28" s="8">
        <f t="shared" si="26"/>
        <v>3051181.9098622869</v>
      </c>
      <c r="C28" s="82">
        <f t="shared" si="34"/>
        <v>402454.61333333305</v>
      </c>
      <c r="D28" s="82">
        <f t="shared" si="35"/>
        <v>577434.87999999954</v>
      </c>
      <c r="E28" s="82">
        <f t="shared" si="36"/>
        <v>34996.053333333366</v>
      </c>
      <c r="F28" s="82">
        <f t="shared" si="27"/>
        <v>297466.45333333331</v>
      </c>
      <c r="G28" s="82">
        <f t="shared" si="28"/>
        <v>332462.50666666671</v>
      </c>
      <c r="H28" s="82">
        <f t="shared" si="29"/>
        <v>402454.6133333334</v>
      </c>
      <c r="I28" s="82">
        <f t="shared" si="30"/>
        <v>227474.34666666642</v>
      </c>
      <c r="J28" s="82">
        <f t="shared" si="31"/>
        <v>6723.3797044334897</v>
      </c>
      <c r="K28" s="82">
        <f t="shared" si="32"/>
        <v>769715.06349118811</v>
      </c>
      <c r="L28" s="82">
        <f t="shared" si="33"/>
        <v>0</v>
      </c>
      <c r="N28" s="41">
        <f>'C&amp;I Calculations and References'!R91</f>
        <v>8.5501858736059422E-2</v>
      </c>
      <c r="O28" s="41">
        <f>'C&amp;I Calculations and References'!R88</f>
        <v>0.12499999999999989</v>
      </c>
      <c r="P28" s="41">
        <f>'C&amp;I Calculations and References'!R82</f>
        <v>5.1282051282051322E-2</v>
      </c>
      <c r="Q28" s="41">
        <f>'C&amp;I Calculations and References'!R96</f>
        <v>0.12878787878787878</v>
      </c>
      <c r="R28" s="41">
        <f>'C&amp;I Calculations and References'!R81</f>
        <v>7.0895522388059698E-2</v>
      </c>
      <c r="S28" s="41">
        <f>'C&amp;I Calculations and References'!R84</f>
        <v>9.4650205761316872E-2</v>
      </c>
      <c r="T28" s="41">
        <f>'C&amp;I Calculations and References'!R87</f>
        <v>6.0465116279069697E-2</v>
      </c>
      <c r="U28" s="41">
        <f>'C&amp;I Calculations and References'!R83</f>
        <v>9.8522167487684609E-3</v>
      </c>
      <c r="V28" s="41">
        <f>'C&amp;I Calculations and References'!R97</f>
        <v>0.13942528735632187</v>
      </c>
      <c r="W28" s="41"/>
      <c r="X28" s="41"/>
    </row>
    <row r="29" spans="1:24">
      <c r="A29" s="8" t="s">
        <v>130</v>
      </c>
      <c r="B29" s="8">
        <f t="shared" si="26"/>
        <v>1480993.7573517244</v>
      </c>
      <c r="C29" s="82">
        <f t="shared" si="34"/>
        <v>52494.079999999994</v>
      </c>
      <c r="D29" s="82">
        <f t="shared" si="35"/>
        <v>419952.64000000001</v>
      </c>
      <c r="E29" s="82">
        <f t="shared" si="36"/>
        <v>139984.21333333335</v>
      </c>
      <c r="F29" s="82">
        <f t="shared" si="27"/>
        <v>0</v>
      </c>
      <c r="G29" s="82">
        <f t="shared" si="28"/>
        <v>87490.133333333346</v>
      </c>
      <c r="H29" s="82">
        <f t="shared" si="29"/>
        <v>174980.26666666669</v>
      </c>
      <c r="I29" s="82">
        <f t="shared" si="30"/>
        <v>244972.37333333332</v>
      </c>
      <c r="J29" s="82">
        <f t="shared" si="31"/>
        <v>305913.77655172418</v>
      </c>
      <c r="K29" s="82">
        <f t="shared" si="32"/>
        <v>55206.274133333354</v>
      </c>
      <c r="L29" s="82">
        <f t="shared" si="33"/>
        <v>0</v>
      </c>
      <c r="N29" s="41">
        <f>'C&amp;I Calculations and References'!Q91</f>
        <v>1.1152416356877323E-2</v>
      </c>
      <c r="O29" s="41">
        <f>'C&amp;I Calculations and References'!Q88</f>
        <v>9.0909090909090912E-2</v>
      </c>
      <c r="P29" s="41">
        <f>'C&amp;I Calculations and References'!Q82</f>
        <v>0.20512820512820512</v>
      </c>
      <c r="Q29" s="41">
        <f>'C&amp;I Calculations and References'!Q96</f>
        <v>0</v>
      </c>
      <c r="R29" s="41">
        <f>'C&amp;I Calculations and References'!Q81</f>
        <v>1.8656716417910446E-2</v>
      </c>
      <c r="S29" s="41">
        <f>'C&amp;I Calculations and References'!Q84</f>
        <v>4.1152263374485597E-2</v>
      </c>
      <c r="T29" s="41">
        <f>'C&amp;I Calculations and References'!Q87</f>
        <v>6.5116279069767441E-2</v>
      </c>
      <c r="U29" s="41">
        <f>'C&amp;I Calculations and References'!Q83</f>
        <v>0.44827586206896552</v>
      </c>
      <c r="V29" s="41">
        <f>'C&amp;I Calculations and References'!Q97</f>
        <v>0.01</v>
      </c>
      <c r="W29" s="41"/>
      <c r="X29" s="41"/>
    </row>
    <row r="30" spans="1:24" ht="15.75" thickBot="1">
      <c r="A30" s="10" t="s">
        <v>22</v>
      </c>
      <c r="B30" s="10">
        <f t="shared" si="26"/>
        <v>2677504.2954666675</v>
      </c>
      <c r="C30" s="89">
        <f t="shared" si="34"/>
        <v>0</v>
      </c>
      <c r="D30" s="89">
        <f t="shared" si="35"/>
        <v>0</v>
      </c>
      <c r="E30" s="89">
        <f t="shared" si="36"/>
        <v>0</v>
      </c>
      <c r="F30" s="89">
        <f t="shared" si="27"/>
        <v>0</v>
      </c>
      <c r="G30" s="89">
        <f t="shared" si="28"/>
        <v>0</v>
      </c>
      <c r="H30" s="89">
        <f t="shared" si="29"/>
        <v>0</v>
      </c>
      <c r="I30" s="89">
        <f t="shared" si="30"/>
        <v>0</v>
      </c>
      <c r="J30" s="89">
        <f t="shared" si="31"/>
        <v>0</v>
      </c>
      <c r="K30" s="89">
        <f t="shared" si="32"/>
        <v>0</v>
      </c>
      <c r="L30" s="89">
        <f t="shared" si="33"/>
        <v>2677504.2954666675</v>
      </c>
      <c r="N30" s="87">
        <v>0</v>
      </c>
      <c r="O30" s="87">
        <v>0</v>
      </c>
      <c r="P30" s="87">
        <v>0</v>
      </c>
      <c r="Q30" s="87">
        <v>0</v>
      </c>
      <c r="R30" s="87">
        <v>0</v>
      </c>
      <c r="S30" s="87">
        <v>0</v>
      </c>
      <c r="T30" s="87">
        <v>0</v>
      </c>
      <c r="U30" s="87">
        <v>0</v>
      </c>
      <c r="V30" s="87">
        <v>0</v>
      </c>
      <c r="W30" s="87">
        <f>W26-W24</f>
        <v>0.48499999999999999</v>
      </c>
      <c r="X30" s="41"/>
    </row>
    <row r="31" spans="1:24">
      <c r="A31" s="8" t="s">
        <v>23</v>
      </c>
      <c r="B31" s="8">
        <f>SUM(B20:B30)</f>
        <v>36745856.000000007</v>
      </c>
      <c r="C31" s="82">
        <f>SUM(C20:C30)</f>
        <v>4706969.1733333329</v>
      </c>
      <c r="D31" s="82">
        <f t="shared" ref="D31:L31" si="37">SUM(D20:D30)</f>
        <v>4619479.04</v>
      </c>
      <c r="E31" s="82">
        <f t="shared" si="37"/>
        <v>682423.04000000015</v>
      </c>
      <c r="F31" s="82">
        <f t="shared" si="37"/>
        <v>2309739.52</v>
      </c>
      <c r="G31" s="82">
        <f t="shared" si="37"/>
        <v>4689471.1466666684</v>
      </c>
      <c r="H31" s="82">
        <f t="shared" si="37"/>
        <v>4252020.4800000004</v>
      </c>
      <c r="I31" s="82">
        <f t="shared" si="37"/>
        <v>3762075.7333333334</v>
      </c>
      <c r="J31" s="82">
        <f t="shared" si="37"/>
        <v>682423.04</v>
      </c>
      <c r="K31" s="82">
        <f t="shared" si="37"/>
        <v>5520627.413333334</v>
      </c>
      <c r="L31" s="82">
        <f t="shared" si="37"/>
        <v>5520627.413333335</v>
      </c>
      <c r="M31" s="23"/>
      <c r="N31" s="12">
        <f>SUM(N20:N30)</f>
        <v>1</v>
      </c>
      <c r="O31" s="12">
        <f t="shared" ref="O31:W31" si="38">SUM(O20:O30)</f>
        <v>1</v>
      </c>
      <c r="P31" s="12">
        <f t="shared" si="38"/>
        <v>1</v>
      </c>
      <c r="Q31" s="12">
        <f t="shared" si="38"/>
        <v>1</v>
      </c>
      <c r="R31" s="12">
        <f t="shared" si="38"/>
        <v>1</v>
      </c>
      <c r="S31" s="12">
        <f t="shared" si="38"/>
        <v>1</v>
      </c>
      <c r="T31" s="12">
        <f t="shared" si="38"/>
        <v>1</v>
      </c>
      <c r="U31" s="12">
        <f t="shared" si="38"/>
        <v>1</v>
      </c>
      <c r="V31" s="12">
        <f t="shared" si="38"/>
        <v>1</v>
      </c>
      <c r="W31" s="12">
        <f t="shared" si="38"/>
        <v>1</v>
      </c>
      <c r="X31" s="88"/>
    </row>
    <row r="32" spans="1:24">
      <c r="A32" s="8"/>
      <c r="B32" s="8"/>
      <c r="C32" s="15"/>
      <c r="D32" s="15"/>
      <c r="E32" s="15"/>
      <c r="F32" s="15"/>
      <c r="G32" s="15"/>
      <c r="H32" s="15"/>
      <c r="I32" s="15"/>
      <c r="J32" s="15"/>
      <c r="K32" s="16"/>
      <c r="L32" s="15"/>
      <c r="N32" s="41"/>
      <c r="O32" s="41"/>
      <c r="P32" s="41"/>
      <c r="Q32" s="41"/>
      <c r="R32" s="41"/>
      <c r="S32" s="41"/>
      <c r="T32" s="41"/>
      <c r="U32" s="41"/>
      <c r="V32" s="41"/>
      <c r="W32" s="41"/>
      <c r="X32" s="41"/>
    </row>
    <row r="33" spans="1:23">
      <c r="A33" s="75" t="s">
        <v>136</v>
      </c>
      <c r="B33" s="75"/>
      <c r="C33" s="75"/>
      <c r="D33" s="75"/>
      <c r="E33" s="75"/>
      <c r="F33" s="75"/>
      <c r="G33" s="75"/>
      <c r="H33" s="75"/>
      <c r="I33" s="75"/>
      <c r="J33" s="75"/>
      <c r="K33" s="75"/>
      <c r="L33" s="75"/>
      <c r="N33" s="75" t="s">
        <v>107</v>
      </c>
      <c r="O33" s="75"/>
      <c r="P33" s="75"/>
      <c r="Q33" s="75"/>
      <c r="R33" s="75"/>
      <c r="S33" s="75"/>
      <c r="T33" s="75"/>
      <c r="U33" s="75"/>
      <c r="V33" s="75"/>
      <c r="W33" s="75"/>
    </row>
    <row r="34" spans="1:23">
      <c r="A34" s="86">
        <f>'C&amp;I Building Summary'!B10</f>
        <v>3473227.206946454</v>
      </c>
      <c r="B34" s="86"/>
      <c r="C34" s="83">
        <f>C18</f>
        <v>0.1280952380952381</v>
      </c>
      <c r="D34" s="83">
        <f t="shared" ref="D34:L34" si="39">D18</f>
        <v>0.12571428571428572</v>
      </c>
      <c r="E34" s="83">
        <f t="shared" si="39"/>
        <v>1.8571428571428572E-2</v>
      </c>
      <c r="F34" s="83">
        <f t="shared" si="39"/>
        <v>6.2857142857142861E-2</v>
      </c>
      <c r="G34" s="83">
        <f t="shared" si="39"/>
        <v>0.12761904761904763</v>
      </c>
      <c r="H34" s="83">
        <f t="shared" si="39"/>
        <v>0.11571428571428571</v>
      </c>
      <c r="I34" s="83">
        <f t="shared" si="39"/>
        <v>0.10238095238095238</v>
      </c>
      <c r="J34" s="84">
        <f t="shared" si="39"/>
        <v>1.8571428571428572E-2</v>
      </c>
      <c r="K34" s="84">
        <f t="shared" si="39"/>
        <v>0.15023809523809528</v>
      </c>
      <c r="L34" s="83">
        <f t="shared" si="39"/>
        <v>0.15023809523809528</v>
      </c>
      <c r="N34" s="76"/>
      <c r="O34" s="76"/>
      <c r="P34" s="76"/>
      <c r="Q34" s="76"/>
      <c r="R34" s="76"/>
      <c r="S34" s="76"/>
      <c r="T34" s="76"/>
      <c r="U34" s="76"/>
      <c r="V34" s="77"/>
      <c r="W34" s="76"/>
    </row>
    <row r="35" spans="1:23" ht="48" customHeight="1" thickBot="1">
      <c r="A35" s="79"/>
      <c r="B35" s="79"/>
      <c r="C35" s="79" t="s">
        <v>3</v>
      </c>
      <c r="D35" s="79" t="s">
        <v>4</v>
      </c>
      <c r="E35" s="79" t="s">
        <v>5</v>
      </c>
      <c r="F35" s="79" t="s">
        <v>6</v>
      </c>
      <c r="G35" s="79" t="s">
        <v>7</v>
      </c>
      <c r="H35" s="79" t="s">
        <v>8</v>
      </c>
      <c r="I35" s="79" t="s">
        <v>9</v>
      </c>
      <c r="J35" s="79" t="s">
        <v>10</v>
      </c>
      <c r="K35" s="79" t="s">
        <v>126</v>
      </c>
      <c r="L35" s="79" t="s">
        <v>12</v>
      </c>
      <c r="N35" s="79" t="s">
        <v>3</v>
      </c>
      <c r="O35" s="79" t="s">
        <v>4</v>
      </c>
      <c r="P35" s="79" t="s">
        <v>5</v>
      </c>
      <c r="Q35" s="79" t="s">
        <v>6</v>
      </c>
      <c r="R35" s="79" t="s">
        <v>7</v>
      </c>
      <c r="S35" s="79" t="s">
        <v>8</v>
      </c>
      <c r="T35" s="79" t="s">
        <v>9</v>
      </c>
      <c r="U35" s="79" t="s">
        <v>10</v>
      </c>
      <c r="V35" s="79" t="s">
        <v>126</v>
      </c>
      <c r="W35" s="79" t="s">
        <v>12</v>
      </c>
    </row>
    <row r="36" spans="1:23" ht="15.75" thickTop="1">
      <c r="A36" s="8" t="s">
        <v>13</v>
      </c>
      <c r="B36" s="8">
        <f t="shared" ref="B36:B46" si="40">SUM(C36:L36)</f>
        <v>0</v>
      </c>
      <c r="C36" s="8">
        <f t="shared" ref="C36:L36" si="41">SUM(D36:M36)</f>
        <v>0</v>
      </c>
      <c r="D36" s="8">
        <f t="shared" si="41"/>
        <v>0</v>
      </c>
      <c r="E36" s="8">
        <f t="shared" si="41"/>
        <v>0</v>
      </c>
      <c r="F36" s="8">
        <f t="shared" si="41"/>
        <v>0</v>
      </c>
      <c r="G36" s="8">
        <f t="shared" si="41"/>
        <v>0</v>
      </c>
      <c r="H36" s="8">
        <f t="shared" si="41"/>
        <v>0</v>
      </c>
      <c r="I36" s="8">
        <f t="shared" si="41"/>
        <v>0</v>
      </c>
      <c r="J36" s="8">
        <f t="shared" si="41"/>
        <v>0</v>
      </c>
      <c r="K36" s="8">
        <f t="shared" si="41"/>
        <v>0</v>
      </c>
      <c r="L36" s="8">
        <f t="shared" si="41"/>
        <v>0</v>
      </c>
      <c r="N36" s="41"/>
      <c r="O36" s="41"/>
      <c r="P36" s="41"/>
      <c r="Q36" s="41"/>
      <c r="R36" s="41"/>
      <c r="S36" s="41"/>
      <c r="T36" s="41"/>
      <c r="U36" s="41"/>
      <c r="V36" s="41"/>
      <c r="W36" s="41"/>
    </row>
    <row r="37" spans="1:23">
      <c r="A37" s="8" t="s">
        <v>14</v>
      </c>
      <c r="B37" s="8">
        <f t="shared" si="40"/>
        <v>0</v>
      </c>
      <c r="C37" s="8">
        <f t="shared" ref="C37:L37" si="42">SUM(D37:M37)</f>
        <v>0</v>
      </c>
      <c r="D37" s="8">
        <f t="shared" si="42"/>
        <v>0</v>
      </c>
      <c r="E37" s="8">
        <f t="shared" si="42"/>
        <v>0</v>
      </c>
      <c r="F37" s="8">
        <f t="shared" si="42"/>
        <v>0</v>
      </c>
      <c r="G37" s="8">
        <f t="shared" si="42"/>
        <v>0</v>
      </c>
      <c r="H37" s="8">
        <f t="shared" si="42"/>
        <v>0</v>
      </c>
      <c r="I37" s="8">
        <f t="shared" si="42"/>
        <v>0</v>
      </c>
      <c r="J37" s="8">
        <f t="shared" si="42"/>
        <v>0</v>
      </c>
      <c r="K37" s="8">
        <f t="shared" si="42"/>
        <v>0</v>
      </c>
      <c r="L37" s="8">
        <f t="shared" si="42"/>
        <v>0</v>
      </c>
      <c r="N37" s="41"/>
      <c r="O37" s="41"/>
      <c r="P37" s="41"/>
      <c r="Q37" s="41"/>
      <c r="R37" s="41"/>
      <c r="S37" s="41"/>
      <c r="T37" s="41"/>
      <c r="U37" s="41"/>
      <c r="V37" s="41"/>
      <c r="W37" s="41"/>
    </row>
    <row r="38" spans="1:23">
      <c r="A38" s="8" t="s">
        <v>15</v>
      </c>
      <c r="B38" s="8">
        <f t="shared" si="40"/>
        <v>0</v>
      </c>
      <c r="C38" s="8">
        <f t="shared" ref="C38:L38" si="43">SUM(D38:M38)</f>
        <v>0</v>
      </c>
      <c r="D38" s="8">
        <f t="shared" si="43"/>
        <v>0</v>
      </c>
      <c r="E38" s="8">
        <f t="shared" si="43"/>
        <v>0</v>
      </c>
      <c r="F38" s="8">
        <f t="shared" si="43"/>
        <v>0</v>
      </c>
      <c r="G38" s="8">
        <f t="shared" si="43"/>
        <v>0</v>
      </c>
      <c r="H38" s="8">
        <f t="shared" si="43"/>
        <v>0</v>
      </c>
      <c r="I38" s="8">
        <f t="shared" si="43"/>
        <v>0</v>
      </c>
      <c r="J38" s="8">
        <f t="shared" si="43"/>
        <v>0</v>
      </c>
      <c r="K38" s="8">
        <f t="shared" si="43"/>
        <v>0</v>
      </c>
      <c r="L38" s="8">
        <f t="shared" si="43"/>
        <v>0</v>
      </c>
      <c r="N38" s="41"/>
      <c r="O38" s="41"/>
      <c r="P38" s="41"/>
      <c r="Q38" s="41"/>
      <c r="R38" s="41"/>
      <c r="S38" s="41"/>
      <c r="T38" s="41"/>
      <c r="U38" s="41"/>
      <c r="V38" s="41"/>
      <c r="W38" s="41"/>
    </row>
    <row r="39" spans="1:23">
      <c r="A39" s="8" t="s">
        <v>16</v>
      </c>
      <c r="B39" s="8">
        <f t="shared" si="40"/>
        <v>0</v>
      </c>
      <c r="C39" s="8">
        <f t="shared" ref="C39:L39" si="44">SUM(D39:M39)</f>
        <v>0</v>
      </c>
      <c r="D39" s="8">
        <f t="shared" si="44"/>
        <v>0</v>
      </c>
      <c r="E39" s="8">
        <f t="shared" si="44"/>
        <v>0</v>
      </c>
      <c r="F39" s="8">
        <f t="shared" si="44"/>
        <v>0</v>
      </c>
      <c r="G39" s="8">
        <f t="shared" si="44"/>
        <v>0</v>
      </c>
      <c r="H39" s="8">
        <f t="shared" si="44"/>
        <v>0</v>
      </c>
      <c r="I39" s="8">
        <f t="shared" si="44"/>
        <v>0</v>
      </c>
      <c r="J39" s="8">
        <f t="shared" si="44"/>
        <v>0</v>
      </c>
      <c r="K39" s="8">
        <f t="shared" si="44"/>
        <v>0</v>
      </c>
      <c r="L39" s="8">
        <f t="shared" si="44"/>
        <v>0</v>
      </c>
      <c r="N39" s="41"/>
      <c r="O39" s="41"/>
      <c r="P39" s="41"/>
      <c r="Q39" s="41"/>
      <c r="R39" s="41"/>
      <c r="S39" s="41"/>
      <c r="T39" s="41"/>
      <c r="U39" s="41"/>
      <c r="V39" s="41"/>
      <c r="W39" s="41"/>
    </row>
    <row r="40" spans="1:23">
      <c r="A40" s="8" t="s">
        <v>17</v>
      </c>
      <c r="B40" s="8">
        <f t="shared" si="40"/>
        <v>574065.39407236769</v>
      </c>
      <c r="C40" s="82">
        <f t="shared" ref="C40:L40" si="45">C$34*$A$34*N40</f>
        <v>23801.441392694003</v>
      </c>
      <c r="D40" s="82">
        <f t="shared" si="45"/>
        <v>40077.542374150937</v>
      </c>
      <c r="E40" s="82">
        <f t="shared" si="45"/>
        <v>4448.4683438723059</v>
      </c>
      <c r="F40" s="82">
        <f t="shared" si="45"/>
        <v>7593.6396077338632</v>
      </c>
      <c r="G40" s="82">
        <f t="shared" si="45"/>
        <v>67214.131506793608</v>
      </c>
      <c r="H40" s="82">
        <f t="shared" si="45"/>
        <v>141622.61141793907</v>
      </c>
      <c r="I40" s="82">
        <f t="shared" si="45"/>
        <v>234539.60825023425</v>
      </c>
      <c r="J40" s="82">
        <f t="shared" si="45"/>
        <v>32837.784502039198</v>
      </c>
      <c r="K40" s="82">
        <f t="shared" si="45"/>
        <v>14103.001078399056</v>
      </c>
      <c r="L40" s="82">
        <f t="shared" si="45"/>
        <v>7827.1655985114758</v>
      </c>
      <c r="N40" s="41">
        <f>N24/(N24+N26)</f>
        <v>5.3497942386831275E-2</v>
      </c>
      <c r="O40" s="41">
        <f t="shared" ref="O40:S40" si="46">O24/(O24+O26)</f>
        <v>9.1787439613526561E-2</v>
      </c>
      <c r="P40" s="41">
        <f t="shared" si="46"/>
        <v>6.8965517241379309E-2</v>
      </c>
      <c r="Q40" s="41">
        <f t="shared" si="46"/>
        <v>3.4782608695652174E-2</v>
      </c>
      <c r="R40" s="41">
        <f t="shared" si="46"/>
        <v>0.15163934426229511</v>
      </c>
      <c r="S40" s="41">
        <f t="shared" si="46"/>
        <v>0.35238095238095235</v>
      </c>
      <c r="T40" s="41">
        <f>T24/(T24+T26)</f>
        <v>0.65957446808510645</v>
      </c>
      <c r="U40" s="41">
        <f>U24/(U24+U26)</f>
        <v>0.50909090909090904</v>
      </c>
      <c r="V40" s="41">
        <f t="shared" ref="V40" si="47">V24/(V24+V26)</f>
        <v>2.7027027027027029E-2</v>
      </c>
      <c r="W40" s="41">
        <v>1.4999999999999999E-2</v>
      </c>
    </row>
    <row r="41" spans="1:23">
      <c r="A41" s="8" t="s">
        <v>18</v>
      </c>
      <c r="B41" s="8">
        <f t="shared" si="40"/>
        <v>0</v>
      </c>
      <c r="C41" s="8">
        <f t="shared" ref="C41:L41" si="48">SUM(D41:M41)</f>
        <v>0</v>
      </c>
      <c r="D41" s="8">
        <f t="shared" si="48"/>
        <v>0</v>
      </c>
      <c r="E41" s="8">
        <f t="shared" si="48"/>
        <v>0</v>
      </c>
      <c r="F41" s="8">
        <f t="shared" si="48"/>
        <v>0</v>
      </c>
      <c r="G41" s="8">
        <f t="shared" si="48"/>
        <v>0</v>
      </c>
      <c r="H41" s="8">
        <f t="shared" si="48"/>
        <v>0</v>
      </c>
      <c r="I41" s="8">
        <f t="shared" si="48"/>
        <v>0</v>
      </c>
      <c r="J41" s="8">
        <f t="shared" si="48"/>
        <v>0</v>
      </c>
      <c r="K41" s="8">
        <f t="shared" si="48"/>
        <v>0</v>
      </c>
      <c r="L41" s="8">
        <f t="shared" si="48"/>
        <v>0</v>
      </c>
      <c r="N41" s="41"/>
      <c r="O41" s="41"/>
      <c r="P41" s="41"/>
      <c r="Q41" s="41"/>
      <c r="R41" s="41"/>
      <c r="S41" s="41"/>
      <c r="T41" s="41"/>
      <c r="U41" s="41"/>
      <c r="V41" s="41"/>
      <c r="W41" s="41">
        <v>0</v>
      </c>
    </row>
    <row r="42" spans="1:23">
      <c r="A42" s="8" t="s">
        <v>19</v>
      </c>
      <c r="B42" s="8">
        <f t="shared" si="40"/>
        <v>2646083.4585222155</v>
      </c>
      <c r="C42" s="82">
        <f t="shared" ref="C42:L42" si="49">C$34*$A$34*N42</f>
        <v>421102.42463997082</v>
      </c>
      <c r="D42" s="82">
        <f t="shared" si="49"/>
        <v>396556.73507054616</v>
      </c>
      <c r="E42" s="82">
        <f t="shared" si="49"/>
        <v>60054.322642276129</v>
      </c>
      <c r="F42" s="82">
        <f t="shared" si="49"/>
        <v>210723.49911461468</v>
      </c>
      <c r="G42" s="82">
        <f t="shared" si="49"/>
        <v>376035.81680827768</v>
      </c>
      <c r="H42" s="82">
        <f t="shared" si="49"/>
        <v>260279.39395729348</v>
      </c>
      <c r="I42" s="82">
        <f t="shared" si="49"/>
        <v>121052.70103237893</v>
      </c>
      <c r="J42" s="82">
        <f t="shared" si="49"/>
        <v>31665.006484109235</v>
      </c>
      <c r="K42" s="82">
        <f t="shared" si="49"/>
        <v>507708.03882236604</v>
      </c>
      <c r="L42" s="82">
        <f t="shared" si="49"/>
        <v>260905.51995038253</v>
      </c>
      <c r="N42" s="41">
        <f>1-N40</f>
        <v>0.94650205761316875</v>
      </c>
      <c r="O42" s="41">
        <f t="shared" ref="O42:V42" si="50">1-O40</f>
        <v>0.90821256038647347</v>
      </c>
      <c r="P42" s="41">
        <f t="shared" si="50"/>
        <v>0.93103448275862066</v>
      </c>
      <c r="Q42" s="41">
        <f t="shared" si="50"/>
        <v>0.9652173913043478</v>
      </c>
      <c r="R42" s="41">
        <f t="shared" si="50"/>
        <v>0.84836065573770492</v>
      </c>
      <c r="S42" s="41">
        <f t="shared" si="50"/>
        <v>0.64761904761904765</v>
      </c>
      <c r="T42" s="41">
        <f t="shared" si="50"/>
        <v>0.34042553191489355</v>
      </c>
      <c r="U42" s="41">
        <f t="shared" si="50"/>
        <v>0.49090909090909096</v>
      </c>
      <c r="V42" s="41">
        <f t="shared" si="50"/>
        <v>0.97297297297297303</v>
      </c>
      <c r="W42" s="41">
        <v>0.5</v>
      </c>
    </row>
    <row r="43" spans="1:23">
      <c r="A43" s="8" t="s">
        <v>20</v>
      </c>
      <c r="B43" s="8">
        <f t="shared" si="40"/>
        <v>0</v>
      </c>
      <c r="C43" s="8">
        <f t="shared" ref="C43:L43" si="51">SUM(D43:M43)</f>
        <v>0</v>
      </c>
      <c r="D43" s="8">
        <f t="shared" si="51"/>
        <v>0</v>
      </c>
      <c r="E43" s="8">
        <f t="shared" si="51"/>
        <v>0</v>
      </c>
      <c r="F43" s="8">
        <f t="shared" si="51"/>
        <v>0</v>
      </c>
      <c r="G43" s="8">
        <f t="shared" si="51"/>
        <v>0</v>
      </c>
      <c r="H43" s="8">
        <f t="shared" si="51"/>
        <v>0</v>
      </c>
      <c r="I43" s="8">
        <f t="shared" si="51"/>
        <v>0</v>
      </c>
      <c r="J43" s="8">
        <f t="shared" si="51"/>
        <v>0</v>
      </c>
      <c r="K43" s="8">
        <f t="shared" si="51"/>
        <v>0</v>
      </c>
      <c r="L43" s="8">
        <f t="shared" si="51"/>
        <v>0</v>
      </c>
      <c r="N43" s="41"/>
      <c r="O43" s="41"/>
      <c r="P43" s="41"/>
      <c r="Q43" s="41"/>
      <c r="R43" s="41"/>
      <c r="S43" s="41"/>
      <c r="T43" s="41"/>
      <c r="U43" s="41"/>
      <c r="V43" s="41"/>
      <c r="W43" s="41">
        <v>0</v>
      </c>
    </row>
    <row r="44" spans="1:23">
      <c r="A44" s="8" t="s">
        <v>21</v>
      </c>
      <c r="B44" s="8">
        <f t="shared" si="40"/>
        <v>0</v>
      </c>
      <c r="C44" s="8">
        <f t="shared" ref="C44:L44" si="52">SUM(D44:M44)</f>
        <v>0</v>
      </c>
      <c r="D44" s="8">
        <f t="shared" si="52"/>
        <v>0</v>
      </c>
      <c r="E44" s="8">
        <f t="shared" si="52"/>
        <v>0</v>
      </c>
      <c r="F44" s="8">
        <f t="shared" si="52"/>
        <v>0</v>
      </c>
      <c r="G44" s="8">
        <f t="shared" si="52"/>
        <v>0</v>
      </c>
      <c r="H44" s="8">
        <f t="shared" si="52"/>
        <v>0</v>
      </c>
      <c r="I44" s="8">
        <f t="shared" si="52"/>
        <v>0</v>
      </c>
      <c r="J44" s="8">
        <f t="shared" si="52"/>
        <v>0</v>
      </c>
      <c r="K44" s="8">
        <f t="shared" si="52"/>
        <v>0</v>
      </c>
      <c r="L44" s="8">
        <f t="shared" si="52"/>
        <v>0</v>
      </c>
      <c r="N44" s="41"/>
      <c r="O44" s="41"/>
      <c r="P44" s="41"/>
      <c r="Q44" s="41"/>
      <c r="R44" s="41"/>
      <c r="S44" s="41"/>
      <c r="T44" s="41"/>
      <c r="U44" s="41"/>
      <c r="V44" s="41"/>
      <c r="W44" s="41"/>
    </row>
    <row r="45" spans="1:23">
      <c r="A45" s="8" t="s">
        <v>130</v>
      </c>
      <c r="B45" s="8">
        <f t="shared" si="40"/>
        <v>0</v>
      </c>
      <c r="C45" s="8">
        <f t="shared" ref="C45:L45" si="53">SUM(D45:M45)</f>
        <v>0</v>
      </c>
      <c r="D45" s="8">
        <f t="shared" si="53"/>
        <v>0</v>
      </c>
      <c r="E45" s="8">
        <f t="shared" si="53"/>
        <v>0</v>
      </c>
      <c r="F45" s="8">
        <f t="shared" si="53"/>
        <v>0</v>
      </c>
      <c r="G45" s="8">
        <f t="shared" si="53"/>
        <v>0</v>
      </c>
      <c r="H45" s="8">
        <f t="shared" si="53"/>
        <v>0</v>
      </c>
      <c r="I45" s="8">
        <f t="shared" si="53"/>
        <v>0</v>
      </c>
      <c r="J45" s="8">
        <f t="shared" si="53"/>
        <v>0</v>
      </c>
      <c r="K45" s="8">
        <f t="shared" si="53"/>
        <v>0</v>
      </c>
      <c r="L45" s="8">
        <f t="shared" si="53"/>
        <v>0</v>
      </c>
      <c r="N45" s="41"/>
      <c r="O45" s="41"/>
      <c r="P45" s="41"/>
      <c r="Q45" s="41"/>
      <c r="R45" s="41"/>
      <c r="S45" s="41"/>
      <c r="T45" s="41"/>
      <c r="U45" s="41"/>
      <c r="V45" s="41"/>
      <c r="W45" s="41"/>
    </row>
    <row r="46" spans="1:23" ht="15.75" thickBot="1">
      <c r="A46" s="10" t="s">
        <v>22</v>
      </c>
      <c r="B46" s="10">
        <f t="shared" si="40"/>
        <v>253078.35435187104</v>
      </c>
      <c r="C46" s="89">
        <f t="shared" ref="C46:L46" si="54">C$34*$A$34*N46</f>
        <v>0</v>
      </c>
      <c r="D46" s="89">
        <f t="shared" si="54"/>
        <v>0</v>
      </c>
      <c r="E46" s="89">
        <f t="shared" si="54"/>
        <v>0</v>
      </c>
      <c r="F46" s="89">
        <f t="shared" si="54"/>
        <v>0</v>
      </c>
      <c r="G46" s="89">
        <f t="shared" si="54"/>
        <v>0</v>
      </c>
      <c r="H46" s="89">
        <f t="shared" si="54"/>
        <v>0</v>
      </c>
      <c r="I46" s="89">
        <f t="shared" si="54"/>
        <v>0</v>
      </c>
      <c r="J46" s="89">
        <f t="shared" si="54"/>
        <v>0</v>
      </c>
      <c r="K46" s="89">
        <f t="shared" si="54"/>
        <v>0</v>
      </c>
      <c r="L46" s="89">
        <f t="shared" si="54"/>
        <v>253078.35435187104</v>
      </c>
      <c r="N46" s="87"/>
      <c r="O46" s="87"/>
      <c r="P46" s="87"/>
      <c r="Q46" s="87"/>
      <c r="R46" s="87"/>
      <c r="S46" s="87"/>
      <c r="T46" s="87"/>
      <c r="U46" s="87"/>
      <c r="V46" s="87"/>
      <c r="W46" s="87">
        <v>0.48499999999999999</v>
      </c>
    </row>
    <row r="47" spans="1:23">
      <c r="A47" s="8" t="s">
        <v>23</v>
      </c>
      <c r="B47" s="8">
        <f>SUM(B36:B46)</f>
        <v>3473227.2069464545</v>
      </c>
      <c r="C47" s="82">
        <f t="shared" ref="C47:K47" si="55">SUM(C36:C46)</f>
        <v>444903.86603266484</v>
      </c>
      <c r="D47" s="82">
        <f t="shared" si="55"/>
        <v>436634.2774446971</v>
      </c>
      <c r="E47" s="82">
        <f t="shared" si="55"/>
        <v>64502.790986148437</v>
      </c>
      <c r="F47" s="82">
        <f t="shared" si="55"/>
        <v>218317.13872234855</v>
      </c>
      <c r="G47" s="82">
        <f t="shared" si="55"/>
        <v>443249.94831507129</v>
      </c>
      <c r="H47" s="82">
        <f t="shared" si="55"/>
        <v>401902.00537523255</v>
      </c>
      <c r="I47" s="82">
        <f t="shared" si="55"/>
        <v>355592.30928261316</v>
      </c>
      <c r="J47" s="82">
        <f t="shared" si="55"/>
        <v>64502.790986148437</v>
      </c>
      <c r="K47" s="82">
        <f t="shared" si="55"/>
        <v>521811.03990076511</v>
      </c>
      <c r="L47" s="82">
        <f>SUM(L36:L46)</f>
        <v>521811.03990076506</v>
      </c>
      <c r="N47" s="12">
        <f t="shared" ref="N47:V47" si="56">SUM(N36:N46)</f>
        <v>1</v>
      </c>
      <c r="O47" s="12">
        <f t="shared" si="56"/>
        <v>1</v>
      </c>
      <c r="P47" s="12">
        <f t="shared" si="56"/>
        <v>1</v>
      </c>
      <c r="Q47" s="12">
        <f t="shared" si="56"/>
        <v>1</v>
      </c>
      <c r="R47" s="12">
        <f t="shared" si="56"/>
        <v>1</v>
      </c>
      <c r="S47" s="12">
        <f t="shared" si="56"/>
        <v>1</v>
      </c>
      <c r="T47" s="12">
        <f t="shared" si="56"/>
        <v>1</v>
      </c>
      <c r="U47" s="12">
        <f t="shared" si="56"/>
        <v>1</v>
      </c>
      <c r="V47" s="12">
        <f t="shared" si="56"/>
        <v>1</v>
      </c>
      <c r="W47" s="12">
        <f>SUM(W36:W46)</f>
        <v>1</v>
      </c>
    </row>
    <row r="48" spans="1:23">
      <c r="A48" s="8"/>
      <c r="B48" s="8"/>
      <c r="C48" s="15"/>
      <c r="D48" s="15"/>
      <c r="E48" s="15"/>
      <c r="F48" s="15"/>
      <c r="G48" s="15"/>
      <c r="H48" s="15"/>
      <c r="I48" s="15"/>
      <c r="J48" s="15"/>
      <c r="K48" s="15"/>
      <c r="L48" s="15"/>
    </row>
    <row r="49" spans="1:23">
      <c r="A49" s="75" t="s">
        <v>135</v>
      </c>
      <c r="B49" s="75"/>
      <c r="C49" s="75"/>
      <c r="D49" s="75"/>
      <c r="E49" s="75"/>
      <c r="F49" s="75"/>
      <c r="G49" s="75"/>
      <c r="H49" s="75"/>
      <c r="I49" s="75"/>
      <c r="J49" s="75"/>
      <c r="K49" s="75"/>
      <c r="L49" s="75"/>
      <c r="N49" s="75" t="s">
        <v>131</v>
      </c>
      <c r="O49" s="75"/>
      <c r="P49" s="75"/>
      <c r="Q49" s="75"/>
      <c r="R49" s="75"/>
      <c r="S49" s="75"/>
      <c r="T49" s="75"/>
      <c r="U49" s="75"/>
      <c r="V49" s="75"/>
      <c r="W49" s="75"/>
    </row>
    <row r="50" spans="1:23">
      <c r="A50" s="86">
        <f>'C&amp;I Building Summary'!B9</f>
        <v>491266.37554585148</v>
      </c>
      <c r="B50" s="86"/>
      <c r="C50" s="83">
        <f>C34</f>
        <v>0.1280952380952381</v>
      </c>
      <c r="D50" s="83">
        <f t="shared" ref="D50:L50" si="57">D34</f>
        <v>0.12571428571428572</v>
      </c>
      <c r="E50" s="83">
        <f t="shared" si="57"/>
        <v>1.8571428571428572E-2</v>
      </c>
      <c r="F50" s="83">
        <f t="shared" si="57"/>
        <v>6.2857142857142861E-2</v>
      </c>
      <c r="G50" s="83">
        <f t="shared" si="57"/>
        <v>0.12761904761904763</v>
      </c>
      <c r="H50" s="83">
        <f t="shared" si="57"/>
        <v>0.11571428571428571</v>
      </c>
      <c r="I50" s="83">
        <f t="shared" si="57"/>
        <v>0.10238095238095238</v>
      </c>
      <c r="J50" s="83">
        <f t="shared" si="57"/>
        <v>1.8571428571428572E-2</v>
      </c>
      <c r="K50" s="83">
        <f t="shared" si="57"/>
        <v>0.15023809523809528</v>
      </c>
      <c r="L50" s="83">
        <f t="shared" si="57"/>
        <v>0.15023809523809528</v>
      </c>
      <c r="N50" s="76"/>
      <c r="O50" s="76"/>
      <c r="P50" s="76"/>
      <c r="Q50" s="76"/>
      <c r="R50" s="76"/>
      <c r="S50" s="76"/>
      <c r="T50" s="76"/>
      <c r="U50" s="76"/>
      <c r="V50" s="77" t="s">
        <v>2</v>
      </c>
      <c r="W50" s="76"/>
    </row>
    <row r="51" spans="1:23" ht="30.75" thickBot="1">
      <c r="A51" s="79"/>
      <c r="B51" s="79"/>
      <c r="C51" s="79" t="s">
        <v>3</v>
      </c>
      <c r="D51" s="79" t="s">
        <v>4</v>
      </c>
      <c r="E51" s="79" t="s">
        <v>5</v>
      </c>
      <c r="F51" s="79" t="s">
        <v>6</v>
      </c>
      <c r="G51" s="79" t="s">
        <v>7</v>
      </c>
      <c r="H51" s="79" t="s">
        <v>8</v>
      </c>
      <c r="I51" s="79" t="s">
        <v>9</v>
      </c>
      <c r="J51" s="79" t="s">
        <v>10</v>
      </c>
      <c r="K51" s="79" t="s">
        <v>126</v>
      </c>
      <c r="L51" s="79" t="s">
        <v>12</v>
      </c>
      <c r="N51" s="79" t="s">
        <v>3</v>
      </c>
      <c r="O51" s="79" t="s">
        <v>4</v>
      </c>
      <c r="P51" s="79" t="s">
        <v>5</v>
      </c>
      <c r="Q51" s="79" t="s">
        <v>6</v>
      </c>
      <c r="R51" s="79" t="s">
        <v>7</v>
      </c>
      <c r="S51" s="79" t="s">
        <v>8</v>
      </c>
      <c r="T51" s="79" t="s">
        <v>9</v>
      </c>
      <c r="U51" s="79" t="s">
        <v>10</v>
      </c>
      <c r="V51" s="79" t="s">
        <v>126</v>
      </c>
      <c r="W51" s="79" t="s">
        <v>12</v>
      </c>
    </row>
    <row r="52" spans="1:23" ht="15.75" thickTop="1">
      <c r="A52" s="8" t="s">
        <v>13</v>
      </c>
      <c r="B52" s="8">
        <f t="shared" ref="B52:B62" si="58">SUM(C52:L52)</f>
        <v>0</v>
      </c>
      <c r="C52" s="82">
        <f t="shared" ref="C52:C62" si="59">C$50*$A$50*N52</f>
        <v>0</v>
      </c>
      <c r="D52" s="82">
        <f t="shared" ref="D52:D62" si="60">D$50*$A$50*O52</f>
        <v>0</v>
      </c>
      <c r="E52" s="82">
        <f t="shared" ref="E52:E62" si="61">E$50*$A$50*P52</f>
        <v>0</v>
      </c>
      <c r="F52" s="82">
        <f t="shared" ref="F52:F62" si="62">F$50*$A$50*Q52</f>
        <v>0</v>
      </c>
      <c r="G52" s="82">
        <f t="shared" ref="G52:G62" si="63">G$50*$A$50*R52</f>
        <v>0</v>
      </c>
      <c r="H52" s="82">
        <f t="shared" ref="H52:H62" si="64">H$50*$A$50*S52</f>
        <v>0</v>
      </c>
      <c r="I52" s="82">
        <f t="shared" ref="I52:I62" si="65">I$50*$A$50*T52</f>
        <v>0</v>
      </c>
      <c r="J52" s="82">
        <f t="shared" ref="J52:J62" si="66">J$50*$A$50*U52</f>
        <v>0</v>
      </c>
      <c r="K52" s="82">
        <f t="shared" ref="K52:K62" si="67">K$50*$A$50*V52</f>
        <v>0</v>
      </c>
      <c r="L52" s="82">
        <f t="shared" ref="L52:L62" si="68">L$50*$A$50*W52</f>
        <v>0</v>
      </c>
      <c r="M52" s="15"/>
      <c r="N52" s="41">
        <f>N20</f>
        <v>0</v>
      </c>
      <c r="O52" s="41">
        <f t="shared" ref="O52:W52" si="69">O20</f>
        <v>0</v>
      </c>
      <c r="P52" s="41">
        <f t="shared" si="69"/>
        <v>0</v>
      </c>
      <c r="Q52" s="41">
        <f t="shared" si="69"/>
        <v>0</v>
      </c>
      <c r="R52" s="41">
        <f t="shared" si="69"/>
        <v>0</v>
      </c>
      <c r="S52" s="41">
        <f t="shared" si="69"/>
        <v>0</v>
      </c>
      <c r="T52" s="41">
        <f t="shared" si="69"/>
        <v>0</v>
      </c>
      <c r="U52" s="41">
        <f t="shared" si="69"/>
        <v>0</v>
      </c>
      <c r="V52" s="41">
        <f t="shared" si="69"/>
        <v>0</v>
      </c>
      <c r="W52" s="41">
        <f t="shared" si="69"/>
        <v>0</v>
      </c>
    </row>
    <row r="53" spans="1:23">
      <c r="A53" s="8" t="s">
        <v>14</v>
      </c>
      <c r="B53" s="8">
        <f t="shared" si="58"/>
        <v>0</v>
      </c>
      <c r="C53" s="82">
        <f t="shared" si="59"/>
        <v>0</v>
      </c>
      <c r="D53" s="82">
        <f t="shared" si="60"/>
        <v>0</v>
      </c>
      <c r="E53" s="82">
        <f t="shared" si="61"/>
        <v>0</v>
      </c>
      <c r="F53" s="82">
        <f t="shared" si="62"/>
        <v>0</v>
      </c>
      <c r="G53" s="82">
        <f t="shared" si="63"/>
        <v>0</v>
      </c>
      <c r="H53" s="82">
        <f t="shared" si="64"/>
        <v>0</v>
      </c>
      <c r="I53" s="82">
        <f t="shared" si="65"/>
        <v>0</v>
      </c>
      <c r="J53" s="82">
        <f t="shared" si="66"/>
        <v>0</v>
      </c>
      <c r="K53" s="82">
        <f t="shared" si="67"/>
        <v>0</v>
      </c>
      <c r="L53" s="82">
        <f t="shared" si="68"/>
        <v>0</v>
      </c>
      <c r="M53" s="15"/>
      <c r="N53" s="41">
        <f t="shared" ref="N53:W62" si="70">N21</f>
        <v>0</v>
      </c>
      <c r="O53" s="41">
        <f t="shared" si="70"/>
        <v>0</v>
      </c>
      <c r="P53" s="41">
        <f t="shared" si="70"/>
        <v>0</v>
      </c>
      <c r="Q53" s="41">
        <f t="shared" si="70"/>
        <v>0</v>
      </c>
      <c r="R53" s="41">
        <f t="shared" si="70"/>
        <v>0</v>
      </c>
      <c r="S53" s="41">
        <f t="shared" si="70"/>
        <v>0</v>
      </c>
      <c r="T53" s="41">
        <f t="shared" si="70"/>
        <v>0</v>
      </c>
      <c r="U53" s="41">
        <f t="shared" si="70"/>
        <v>0</v>
      </c>
      <c r="V53" s="41">
        <f t="shared" si="70"/>
        <v>0</v>
      </c>
      <c r="W53" s="41">
        <f t="shared" si="70"/>
        <v>0</v>
      </c>
    </row>
    <row r="54" spans="1:23">
      <c r="A54" s="8" t="s">
        <v>15</v>
      </c>
      <c r="B54" s="8">
        <f t="shared" si="58"/>
        <v>0</v>
      </c>
      <c r="C54" s="82">
        <f t="shared" si="59"/>
        <v>0</v>
      </c>
      <c r="D54" s="82">
        <f t="shared" si="60"/>
        <v>0</v>
      </c>
      <c r="E54" s="82">
        <f t="shared" si="61"/>
        <v>0</v>
      </c>
      <c r="F54" s="82">
        <f t="shared" si="62"/>
        <v>0</v>
      </c>
      <c r="G54" s="82">
        <f t="shared" si="63"/>
        <v>0</v>
      </c>
      <c r="H54" s="82">
        <f t="shared" si="64"/>
        <v>0</v>
      </c>
      <c r="I54" s="82">
        <f t="shared" si="65"/>
        <v>0</v>
      </c>
      <c r="J54" s="82">
        <f t="shared" si="66"/>
        <v>0</v>
      </c>
      <c r="K54" s="82">
        <f t="shared" si="67"/>
        <v>0</v>
      </c>
      <c r="L54" s="82">
        <f t="shared" si="68"/>
        <v>0</v>
      </c>
      <c r="M54" s="15"/>
      <c r="N54" s="41">
        <f t="shared" si="70"/>
        <v>0</v>
      </c>
      <c r="O54" s="41">
        <f t="shared" si="70"/>
        <v>0</v>
      </c>
      <c r="P54" s="41">
        <f t="shared" si="70"/>
        <v>0</v>
      </c>
      <c r="Q54" s="41">
        <f t="shared" si="70"/>
        <v>0</v>
      </c>
      <c r="R54" s="41">
        <f t="shared" si="70"/>
        <v>0</v>
      </c>
      <c r="S54" s="41">
        <f t="shared" si="70"/>
        <v>0</v>
      </c>
      <c r="T54" s="41">
        <f t="shared" si="70"/>
        <v>0</v>
      </c>
      <c r="U54" s="41">
        <f t="shared" si="70"/>
        <v>0</v>
      </c>
      <c r="V54" s="41">
        <f t="shared" si="70"/>
        <v>0</v>
      </c>
      <c r="W54" s="41">
        <f t="shared" si="70"/>
        <v>0</v>
      </c>
    </row>
    <row r="55" spans="1:23">
      <c r="A55" s="8" t="s">
        <v>16</v>
      </c>
      <c r="B55" s="8">
        <f t="shared" si="58"/>
        <v>0</v>
      </c>
      <c r="C55" s="82">
        <f t="shared" si="59"/>
        <v>0</v>
      </c>
      <c r="D55" s="82">
        <f t="shared" si="60"/>
        <v>0</v>
      </c>
      <c r="E55" s="82">
        <f t="shared" si="61"/>
        <v>0</v>
      </c>
      <c r="F55" s="82">
        <f t="shared" si="62"/>
        <v>0</v>
      </c>
      <c r="G55" s="82">
        <f t="shared" si="63"/>
        <v>0</v>
      </c>
      <c r="H55" s="82">
        <f t="shared" si="64"/>
        <v>0</v>
      </c>
      <c r="I55" s="82">
        <f t="shared" si="65"/>
        <v>0</v>
      </c>
      <c r="J55" s="82">
        <f t="shared" si="66"/>
        <v>0</v>
      </c>
      <c r="K55" s="82">
        <f t="shared" si="67"/>
        <v>0</v>
      </c>
      <c r="L55" s="82">
        <f t="shared" si="68"/>
        <v>0</v>
      </c>
      <c r="M55" s="15"/>
      <c r="N55" s="41">
        <f t="shared" si="70"/>
        <v>0</v>
      </c>
      <c r="O55" s="41">
        <f t="shared" si="70"/>
        <v>0</v>
      </c>
      <c r="P55" s="41">
        <f t="shared" si="70"/>
        <v>0</v>
      </c>
      <c r="Q55" s="41">
        <f t="shared" si="70"/>
        <v>0</v>
      </c>
      <c r="R55" s="41">
        <f t="shared" si="70"/>
        <v>0</v>
      </c>
      <c r="S55" s="41">
        <f t="shared" si="70"/>
        <v>0</v>
      </c>
      <c r="T55" s="41">
        <f t="shared" si="70"/>
        <v>0</v>
      </c>
      <c r="U55" s="41">
        <f t="shared" si="70"/>
        <v>0</v>
      </c>
      <c r="V55" s="41">
        <f t="shared" si="70"/>
        <v>0</v>
      </c>
      <c r="W55" s="41">
        <f t="shared" si="70"/>
        <v>0</v>
      </c>
    </row>
    <row r="56" spans="1:23">
      <c r="A56" s="8" t="s">
        <v>17</v>
      </c>
      <c r="B56" s="8">
        <f t="shared" si="58"/>
        <v>69185.276260029685</v>
      </c>
      <c r="C56" s="82">
        <f t="shared" si="59"/>
        <v>3041.1728009981284</v>
      </c>
      <c r="D56" s="82">
        <f t="shared" si="60"/>
        <v>4444.7910168434191</v>
      </c>
      <c r="E56" s="82">
        <f t="shared" si="61"/>
        <v>467.87273861509664</v>
      </c>
      <c r="F56" s="82">
        <f t="shared" si="62"/>
        <v>935.74547723019339</v>
      </c>
      <c r="G56" s="82">
        <f t="shared" si="63"/>
        <v>8655.6456643792899</v>
      </c>
      <c r="H56" s="82">
        <f t="shared" si="64"/>
        <v>17311.291328758576</v>
      </c>
      <c r="I56" s="82">
        <f t="shared" si="65"/>
        <v>29008.109794135995</v>
      </c>
      <c r="J56" s="82">
        <f t="shared" si="66"/>
        <v>2516.8326628950026</v>
      </c>
      <c r="K56" s="82">
        <f t="shared" si="67"/>
        <v>1696.7109084260119</v>
      </c>
      <c r="L56" s="82">
        <f t="shared" si="68"/>
        <v>1107.1038677479728</v>
      </c>
      <c r="M56" s="15"/>
      <c r="N56" s="41">
        <f t="shared" si="70"/>
        <v>4.8327137546468404E-2</v>
      </c>
      <c r="O56" s="41">
        <f t="shared" si="70"/>
        <v>7.1969696969696975E-2</v>
      </c>
      <c r="P56" s="41">
        <f t="shared" si="70"/>
        <v>5.128205128205128E-2</v>
      </c>
      <c r="Q56" s="41">
        <f t="shared" si="70"/>
        <v>3.0303030303030304E-2</v>
      </c>
      <c r="R56" s="41">
        <f t="shared" si="70"/>
        <v>0.13805970149253732</v>
      </c>
      <c r="S56" s="41">
        <f t="shared" si="70"/>
        <v>0.30452674897119342</v>
      </c>
      <c r="T56" s="41">
        <f t="shared" si="70"/>
        <v>0.57674418604651168</v>
      </c>
      <c r="U56" s="41">
        <f t="shared" si="70"/>
        <v>0.27586206896551724</v>
      </c>
      <c r="V56" s="41">
        <f t="shared" si="70"/>
        <v>2.2988505747126436E-2</v>
      </c>
      <c r="W56" s="41">
        <f t="shared" si="70"/>
        <v>1.4999999999999999E-2</v>
      </c>
    </row>
    <row r="57" spans="1:23">
      <c r="A57" s="8" t="s">
        <v>18</v>
      </c>
      <c r="B57" s="8">
        <f t="shared" si="58"/>
        <v>0</v>
      </c>
      <c r="C57" s="82">
        <f t="shared" si="59"/>
        <v>0</v>
      </c>
      <c r="D57" s="82">
        <f t="shared" si="60"/>
        <v>0</v>
      </c>
      <c r="E57" s="82">
        <f t="shared" si="61"/>
        <v>0</v>
      </c>
      <c r="F57" s="82">
        <f t="shared" si="62"/>
        <v>0</v>
      </c>
      <c r="G57" s="82">
        <f t="shared" si="63"/>
        <v>0</v>
      </c>
      <c r="H57" s="82">
        <f t="shared" si="64"/>
        <v>0</v>
      </c>
      <c r="I57" s="82">
        <f t="shared" si="65"/>
        <v>0</v>
      </c>
      <c r="J57" s="82">
        <f t="shared" si="66"/>
        <v>0</v>
      </c>
      <c r="K57" s="82">
        <f t="shared" si="67"/>
        <v>0</v>
      </c>
      <c r="L57" s="82">
        <f t="shared" si="68"/>
        <v>0</v>
      </c>
      <c r="M57" s="15"/>
      <c r="N57" s="41">
        <f t="shared" si="70"/>
        <v>0</v>
      </c>
      <c r="O57" s="41">
        <f t="shared" si="70"/>
        <v>0</v>
      </c>
      <c r="P57" s="41">
        <f t="shared" si="70"/>
        <v>0</v>
      </c>
      <c r="Q57" s="41">
        <f t="shared" si="70"/>
        <v>0</v>
      </c>
      <c r="R57" s="41">
        <f t="shared" si="70"/>
        <v>0</v>
      </c>
      <c r="S57" s="41">
        <f t="shared" si="70"/>
        <v>0</v>
      </c>
      <c r="T57" s="41">
        <f t="shared" si="70"/>
        <v>0</v>
      </c>
      <c r="U57" s="41">
        <f t="shared" si="70"/>
        <v>0</v>
      </c>
      <c r="V57" s="41">
        <f t="shared" si="70"/>
        <v>0</v>
      </c>
      <c r="W57" s="41">
        <f t="shared" si="70"/>
        <v>0</v>
      </c>
    </row>
    <row r="58" spans="1:23">
      <c r="A58" s="8" t="s">
        <v>19</v>
      </c>
      <c r="B58" s="8">
        <f t="shared" si="58"/>
        <v>325692.72438684857</v>
      </c>
      <c r="C58" s="82">
        <f t="shared" si="59"/>
        <v>53805.364940736115</v>
      </c>
      <c r="D58" s="82">
        <f t="shared" si="60"/>
        <v>43980.037429819095</v>
      </c>
      <c r="E58" s="82">
        <f t="shared" si="61"/>
        <v>6316.2819713038043</v>
      </c>
      <c r="F58" s="82">
        <f t="shared" si="62"/>
        <v>25966.936993137868</v>
      </c>
      <c r="G58" s="82">
        <f t="shared" si="63"/>
        <v>48424.828446662505</v>
      </c>
      <c r="H58" s="82">
        <f t="shared" si="64"/>
        <v>31815.346225826572</v>
      </c>
      <c r="I58" s="82">
        <f t="shared" si="65"/>
        <v>14971.927635683092</v>
      </c>
      <c r="J58" s="82">
        <f t="shared" si="66"/>
        <v>2426.9457820773241</v>
      </c>
      <c r="K58" s="82">
        <f t="shared" si="67"/>
        <v>61081.592703336435</v>
      </c>
      <c r="L58" s="82">
        <f t="shared" si="68"/>
        <v>36903.462258265761</v>
      </c>
      <c r="M58" s="15"/>
      <c r="N58" s="41">
        <f t="shared" si="70"/>
        <v>0.85501858736059477</v>
      </c>
      <c r="O58" s="41">
        <f t="shared" si="70"/>
        <v>0.71212121212121215</v>
      </c>
      <c r="P58" s="41">
        <f t="shared" si="70"/>
        <v>0.69230769230769229</v>
      </c>
      <c r="Q58" s="41">
        <f t="shared" si="70"/>
        <v>0.84090909090909094</v>
      </c>
      <c r="R58" s="41">
        <f t="shared" si="70"/>
        <v>0.77238805970149249</v>
      </c>
      <c r="S58" s="41">
        <f t="shared" si="70"/>
        <v>0.55967078189300412</v>
      </c>
      <c r="T58" s="41">
        <f t="shared" si="70"/>
        <v>0.29767441860465116</v>
      </c>
      <c r="U58" s="41">
        <f t="shared" si="70"/>
        <v>0.26600985221674878</v>
      </c>
      <c r="V58" s="41">
        <f t="shared" si="70"/>
        <v>0.82758620689655171</v>
      </c>
      <c r="W58" s="41">
        <f t="shared" si="70"/>
        <v>0.5</v>
      </c>
    </row>
    <row r="59" spans="1:23">
      <c r="A59" s="8" t="s">
        <v>20</v>
      </c>
      <c r="B59" s="8">
        <f t="shared" si="58"/>
        <v>0</v>
      </c>
      <c r="C59" s="82">
        <f t="shared" si="59"/>
        <v>0</v>
      </c>
      <c r="D59" s="82">
        <f t="shared" si="60"/>
        <v>0</v>
      </c>
      <c r="E59" s="82">
        <f t="shared" si="61"/>
        <v>0</v>
      </c>
      <c r="F59" s="82">
        <f t="shared" si="62"/>
        <v>0</v>
      </c>
      <c r="G59" s="82">
        <f t="shared" si="63"/>
        <v>0</v>
      </c>
      <c r="H59" s="82">
        <f t="shared" si="64"/>
        <v>0</v>
      </c>
      <c r="I59" s="82">
        <f t="shared" si="65"/>
        <v>0</v>
      </c>
      <c r="J59" s="82">
        <f t="shared" si="66"/>
        <v>0</v>
      </c>
      <c r="K59" s="82">
        <f t="shared" si="67"/>
        <v>0</v>
      </c>
      <c r="L59" s="82">
        <f t="shared" si="68"/>
        <v>0</v>
      </c>
      <c r="M59" s="15"/>
      <c r="N59" s="41">
        <f t="shared" si="70"/>
        <v>0</v>
      </c>
      <c r="O59" s="41">
        <f t="shared" si="70"/>
        <v>0</v>
      </c>
      <c r="P59" s="41">
        <f t="shared" si="70"/>
        <v>0</v>
      </c>
      <c r="Q59" s="41">
        <f t="shared" si="70"/>
        <v>0</v>
      </c>
      <c r="R59" s="41">
        <f t="shared" si="70"/>
        <v>0</v>
      </c>
      <c r="S59" s="41">
        <f t="shared" si="70"/>
        <v>0</v>
      </c>
      <c r="T59" s="41">
        <f t="shared" si="70"/>
        <v>0</v>
      </c>
      <c r="U59" s="41">
        <f t="shared" si="70"/>
        <v>0</v>
      </c>
      <c r="V59" s="41">
        <f t="shared" si="70"/>
        <v>0</v>
      </c>
      <c r="W59" s="41">
        <f t="shared" si="70"/>
        <v>0</v>
      </c>
    </row>
    <row r="60" spans="1:23">
      <c r="A60" s="8" t="s">
        <v>21</v>
      </c>
      <c r="B60" s="8">
        <f t="shared" si="58"/>
        <v>40792.166550402711</v>
      </c>
      <c r="C60" s="82">
        <f t="shared" si="59"/>
        <v>5380.5364940736081</v>
      </c>
      <c r="D60" s="82">
        <f t="shared" si="60"/>
        <v>7719.9001871490882</v>
      </c>
      <c r="E60" s="82">
        <f t="shared" si="61"/>
        <v>467.87273861509703</v>
      </c>
      <c r="F60" s="82">
        <f t="shared" si="62"/>
        <v>3976.9182782283219</v>
      </c>
      <c r="G60" s="82">
        <f t="shared" si="63"/>
        <v>4444.7910168434182</v>
      </c>
      <c r="H60" s="82">
        <f t="shared" si="64"/>
        <v>5380.5364940736108</v>
      </c>
      <c r="I60" s="82">
        <f t="shared" si="65"/>
        <v>3041.1728009981248</v>
      </c>
      <c r="J60" s="82">
        <f t="shared" si="66"/>
        <v>89.886880817678559</v>
      </c>
      <c r="K60" s="82">
        <f t="shared" si="67"/>
        <v>10290.551659603765</v>
      </c>
      <c r="L60" s="82">
        <f t="shared" si="68"/>
        <v>0</v>
      </c>
      <c r="M60" s="15"/>
      <c r="N60" s="41">
        <f t="shared" si="70"/>
        <v>8.5501858736059422E-2</v>
      </c>
      <c r="O60" s="41">
        <f t="shared" si="70"/>
        <v>0.12499999999999989</v>
      </c>
      <c r="P60" s="41">
        <f t="shared" si="70"/>
        <v>5.1282051282051322E-2</v>
      </c>
      <c r="Q60" s="41">
        <f t="shared" si="70"/>
        <v>0.12878787878787878</v>
      </c>
      <c r="R60" s="41">
        <f t="shared" si="70"/>
        <v>7.0895522388059698E-2</v>
      </c>
      <c r="S60" s="41">
        <f t="shared" si="70"/>
        <v>9.4650205761316872E-2</v>
      </c>
      <c r="T60" s="41">
        <f t="shared" si="70"/>
        <v>6.0465116279069697E-2</v>
      </c>
      <c r="U60" s="41">
        <f t="shared" si="70"/>
        <v>9.8522167487684609E-3</v>
      </c>
      <c r="V60" s="41">
        <f t="shared" si="70"/>
        <v>0.13942528735632187</v>
      </c>
      <c r="W60" s="41">
        <f t="shared" si="70"/>
        <v>0</v>
      </c>
    </row>
    <row r="61" spans="1:23">
      <c r="A61" s="8" t="s">
        <v>130</v>
      </c>
      <c r="B61" s="8">
        <f t="shared" si="58"/>
        <v>19799.84995805279</v>
      </c>
      <c r="C61" s="82">
        <f t="shared" si="59"/>
        <v>701.8091079226449</v>
      </c>
      <c r="D61" s="82">
        <f t="shared" si="60"/>
        <v>5614.4728633811601</v>
      </c>
      <c r="E61" s="82">
        <f t="shared" si="61"/>
        <v>1871.4909544603865</v>
      </c>
      <c r="F61" s="82">
        <f t="shared" si="62"/>
        <v>0</v>
      </c>
      <c r="G61" s="82">
        <f t="shared" si="63"/>
        <v>1169.6818465377416</v>
      </c>
      <c r="H61" s="82">
        <f t="shared" si="64"/>
        <v>2339.3636930754833</v>
      </c>
      <c r="I61" s="82">
        <f t="shared" si="65"/>
        <v>3275.1091703056768</v>
      </c>
      <c r="J61" s="82">
        <f t="shared" si="66"/>
        <v>4089.8530772043796</v>
      </c>
      <c r="K61" s="82">
        <f t="shared" si="67"/>
        <v>738.06924516531524</v>
      </c>
      <c r="L61" s="82">
        <f t="shared" si="68"/>
        <v>0</v>
      </c>
      <c r="M61" s="15"/>
      <c r="N61" s="41">
        <f t="shared" si="70"/>
        <v>1.1152416356877323E-2</v>
      </c>
      <c r="O61" s="41">
        <f t="shared" si="70"/>
        <v>9.0909090909090912E-2</v>
      </c>
      <c r="P61" s="41">
        <f t="shared" si="70"/>
        <v>0.20512820512820512</v>
      </c>
      <c r="Q61" s="41">
        <f t="shared" si="70"/>
        <v>0</v>
      </c>
      <c r="R61" s="41">
        <f t="shared" si="70"/>
        <v>1.8656716417910446E-2</v>
      </c>
      <c r="S61" s="41">
        <f t="shared" si="70"/>
        <v>4.1152263374485597E-2</v>
      </c>
      <c r="T61" s="41">
        <f t="shared" si="70"/>
        <v>6.5116279069767441E-2</v>
      </c>
      <c r="U61" s="41">
        <f t="shared" si="70"/>
        <v>0.44827586206896552</v>
      </c>
      <c r="V61" s="41">
        <f t="shared" si="70"/>
        <v>0.01</v>
      </c>
      <c r="W61" s="41">
        <f t="shared" si="70"/>
        <v>0</v>
      </c>
    </row>
    <row r="62" spans="1:23" ht="15.75" thickBot="1">
      <c r="A62" s="10" t="s">
        <v>22</v>
      </c>
      <c r="B62" s="10">
        <f t="shared" si="58"/>
        <v>35796.358390517787</v>
      </c>
      <c r="C62" s="89">
        <f t="shared" si="59"/>
        <v>0</v>
      </c>
      <c r="D62" s="89">
        <f t="shared" si="60"/>
        <v>0</v>
      </c>
      <c r="E62" s="89">
        <f t="shared" si="61"/>
        <v>0</v>
      </c>
      <c r="F62" s="89">
        <f t="shared" si="62"/>
        <v>0</v>
      </c>
      <c r="G62" s="89">
        <f t="shared" si="63"/>
        <v>0</v>
      </c>
      <c r="H62" s="89">
        <f t="shared" si="64"/>
        <v>0</v>
      </c>
      <c r="I62" s="89">
        <f t="shared" si="65"/>
        <v>0</v>
      </c>
      <c r="J62" s="89">
        <f t="shared" si="66"/>
        <v>0</v>
      </c>
      <c r="K62" s="89">
        <f t="shared" si="67"/>
        <v>0</v>
      </c>
      <c r="L62" s="89">
        <f t="shared" si="68"/>
        <v>35796.358390517787</v>
      </c>
      <c r="M62" s="15"/>
      <c r="N62" s="87">
        <f t="shared" si="70"/>
        <v>0</v>
      </c>
      <c r="O62" s="87">
        <f t="shared" si="70"/>
        <v>0</v>
      </c>
      <c r="P62" s="87">
        <f t="shared" si="70"/>
        <v>0</v>
      </c>
      <c r="Q62" s="87">
        <f t="shared" si="70"/>
        <v>0</v>
      </c>
      <c r="R62" s="87">
        <f t="shared" si="70"/>
        <v>0</v>
      </c>
      <c r="S62" s="87">
        <f t="shared" si="70"/>
        <v>0</v>
      </c>
      <c r="T62" s="87">
        <f t="shared" si="70"/>
        <v>0</v>
      </c>
      <c r="U62" s="87">
        <f t="shared" si="70"/>
        <v>0</v>
      </c>
      <c r="V62" s="87">
        <f t="shared" si="70"/>
        <v>0</v>
      </c>
      <c r="W62" s="87">
        <f t="shared" si="70"/>
        <v>0.48499999999999999</v>
      </c>
    </row>
    <row r="63" spans="1:23">
      <c r="A63" s="8" t="s">
        <v>23</v>
      </c>
      <c r="B63" s="8">
        <f>SUM(B52:B62)</f>
        <v>491266.37554585154</v>
      </c>
      <c r="C63" s="82">
        <f t="shared" ref="C63:K63" si="71">SUM(C52:C62)</f>
        <v>62928.8833437305</v>
      </c>
      <c r="D63" s="82">
        <f t="shared" si="71"/>
        <v>61759.201497192764</v>
      </c>
      <c r="E63" s="82">
        <f t="shared" si="71"/>
        <v>9123.5184029943848</v>
      </c>
      <c r="F63" s="82">
        <f t="shared" si="71"/>
        <v>30879.600748596382</v>
      </c>
      <c r="G63" s="82">
        <f t="shared" si="71"/>
        <v>62694.946974422957</v>
      </c>
      <c r="H63" s="82">
        <f t="shared" si="71"/>
        <v>56846.537741734239</v>
      </c>
      <c r="I63" s="82">
        <f t="shared" si="71"/>
        <v>50296.319401122884</v>
      </c>
      <c r="J63" s="82">
        <f t="shared" si="71"/>
        <v>9123.5184029943848</v>
      </c>
      <c r="K63" s="82">
        <f t="shared" si="71"/>
        <v>73806.924516531522</v>
      </c>
      <c r="L63" s="82">
        <f>SUM(L52:L62)</f>
        <v>73806.924516531522</v>
      </c>
      <c r="N63" s="12"/>
      <c r="O63" s="12"/>
      <c r="P63" s="12"/>
      <c r="Q63" s="12"/>
      <c r="R63" s="12"/>
      <c r="S63" s="12"/>
      <c r="T63" s="12"/>
      <c r="U63" s="12"/>
      <c r="V63" s="12"/>
      <c r="W63" s="12"/>
    </row>
    <row r="64" spans="1:23">
      <c r="C64" s="15"/>
      <c r="D64" s="15"/>
      <c r="E64" s="15"/>
      <c r="F64" s="15"/>
      <c r="G64" s="15"/>
      <c r="H64" s="15"/>
      <c r="I64" s="15"/>
      <c r="J64" s="15"/>
      <c r="K64" s="16"/>
      <c r="L64" s="15"/>
    </row>
    <row r="65" spans="1:12">
      <c r="C65" s="15"/>
      <c r="D65" s="15"/>
      <c r="E65" s="15"/>
      <c r="F65" s="15"/>
      <c r="G65" s="15"/>
      <c r="H65" s="15"/>
      <c r="I65" s="15"/>
      <c r="J65" s="15"/>
      <c r="K65" s="16"/>
      <c r="L65" s="15"/>
    </row>
    <row r="66" spans="1:12">
      <c r="C66" s="15"/>
      <c r="D66" s="15"/>
      <c r="E66" s="15"/>
      <c r="F66" s="15"/>
      <c r="G66" s="15"/>
      <c r="H66" s="15"/>
      <c r="I66" s="15"/>
      <c r="J66" s="15"/>
      <c r="K66" s="16"/>
      <c r="L66" s="15"/>
    </row>
    <row r="67" spans="1:12">
      <c r="C67" s="15"/>
      <c r="D67" s="15"/>
      <c r="E67" s="15"/>
      <c r="F67" s="15"/>
      <c r="G67" s="15"/>
      <c r="H67" s="15"/>
      <c r="I67" s="15"/>
      <c r="J67" s="15"/>
      <c r="K67" s="16"/>
      <c r="L67" s="15"/>
    </row>
    <row r="68" spans="1:12">
      <c r="C68" s="15"/>
      <c r="D68" s="15"/>
      <c r="E68" s="15"/>
      <c r="F68" s="15"/>
      <c r="G68" s="15"/>
      <c r="H68" s="15"/>
      <c r="I68" s="15"/>
      <c r="J68" s="15"/>
      <c r="K68" s="16"/>
      <c r="L68" s="15"/>
    </row>
    <row r="69" spans="1:12">
      <c r="C69" s="15"/>
      <c r="D69" s="15"/>
      <c r="E69" s="15"/>
      <c r="F69" s="15"/>
      <c r="G69" s="15"/>
      <c r="H69" s="15"/>
      <c r="I69" s="15"/>
      <c r="J69" s="15"/>
      <c r="K69" s="16"/>
      <c r="L69" s="15"/>
    </row>
    <row r="70" spans="1:12">
      <c r="C70" s="15"/>
      <c r="D70" s="15"/>
      <c r="E70" s="15"/>
      <c r="F70" s="15"/>
      <c r="G70" s="15"/>
      <c r="H70" s="15"/>
      <c r="I70" s="15"/>
      <c r="J70" s="15"/>
      <c r="K70" s="16"/>
      <c r="L70" s="15"/>
    </row>
    <row r="71" spans="1:12">
      <c r="C71" s="15"/>
      <c r="D71" s="15"/>
      <c r="E71" s="15"/>
      <c r="F71" s="15"/>
      <c r="G71" s="15"/>
      <c r="H71" s="15"/>
      <c r="I71" s="15"/>
      <c r="J71" s="15"/>
      <c r="K71" s="16"/>
      <c r="L71" s="15"/>
    </row>
    <row r="72" spans="1:12">
      <c r="C72" s="15"/>
      <c r="D72" s="15"/>
      <c r="E72" s="15"/>
      <c r="F72" s="15"/>
      <c r="G72" s="15"/>
      <c r="H72" s="15"/>
      <c r="I72" s="15"/>
      <c r="J72" s="15"/>
      <c r="K72" s="16"/>
      <c r="L72" s="15"/>
    </row>
    <row r="73" spans="1:12">
      <c r="A73" s="17"/>
      <c r="B73" s="17"/>
      <c r="K73" s="18"/>
    </row>
    <row r="74" spans="1:12" ht="15.75" thickBot="1">
      <c r="A74" s="6"/>
      <c r="B74" s="6"/>
      <c r="C74" s="7"/>
      <c r="D74" s="7"/>
      <c r="E74" s="7"/>
      <c r="F74" s="7"/>
      <c r="G74" s="7"/>
      <c r="H74" s="7"/>
      <c r="I74" s="7"/>
      <c r="J74" s="7"/>
      <c r="K74" s="7"/>
      <c r="L74" s="7"/>
    </row>
    <row r="75" spans="1:12" ht="15.75" thickTop="1">
      <c r="A75" s="8"/>
      <c r="B75" s="8"/>
      <c r="C75" s="9"/>
      <c r="D75" s="9"/>
      <c r="E75" s="9"/>
      <c r="F75" s="9"/>
      <c r="G75" s="9"/>
      <c r="H75" s="9"/>
      <c r="I75" s="9"/>
      <c r="J75" s="9"/>
      <c r="K75" s="9"/>
      <c r="L75" s="9"/>
    </row>
    <row r="76" spans="1:12">
      <c r="A76" s="8"/>
      <c r="B76" s="8"/>
      <c r="C76" s="9"/>
      <c r="D76" s="9"/>
      <c r="E76" s="9"/>
      <c r="F76" s="9"/>
      <c r="G76" s="9"/>
      <c r="H76" s="9"/>
      <c r="I76" s="9"/>
      <c r="J76" s="9"/>
      <c r="K76" s="9"/>
      <c r="L76" s="9"/>
    </row>
    <row r="77" spans="1:12">
      <c r="A77" s="8"/>
      <c r="B77" s="8"/>
      <c r="C77" s="9"/>
      <c r="D77" s="9"/>
      <c r="E77" s="9"/>
      <c r="F77" s="9"/>
      <c r="G77" s="9"/>
      <c r="H77" s="9"/>
      <c r="I77" s="9"/>
      <c r="J77" s="9"/>
      <c r="K77" s="9"/>
      <c r="L77" s="9"/>
    </row>
    <row r="78" spans="1:12">
      <c r="A78" s="8"/>
      <c r="B78" s="8"/>
      <c r="C78" s="9"/>
      <c r="D78" s="9"/>
      <c r="E78" s="9"/>
      <c r="F78" s="9"/>
      <c r="G78" s="9"/>
      <c r="H78" s="9"/>
      <c r="I78" s="9"/>
      <c r="J78" s="9"/>
      <c r="K78" s="9"/>
      <c r="L78" s="9"/>
    </row>
    <row r="79" spans="1:12">
      <c r="A79" s="8"/>
      <c r="B79" s="8"/>
      <c r="C79" s="9"/>
      <c r="D79" s="9"/>
      <c r="E79" s="9"/>
      <c r="F79" s="9"/>
      <c r="G79" s="9"/>
      <c r="H79" s="9"/>
      <c r="I79" s="9"/>
      <c r="J79" s="9"/>
      <c r="K79" s="9"/>
      <c r="L79" s="9"/>
    </row>
    <row r="80" spans="1:12">
      <c r="A80" s="8"/>
      <c r="B80" s="8"/>
      <c r="C80" s="9"/>
      <c r="D80" s="9"/>
      <c r="E80" s="9"/>
      <c r="F80" s="9"/>
      <c r="G80" s="9"/>
      <c r="H80" s="9"/>
      <c r="I80" s="9"/>
      <c r="J80" s="9"/>
      <c r="K80" s="9"/>
      <c r="L80" s="9"/>
    </row>
    <row r="81" spans="1:12">
      <c r="A81" s="8"/>
      <c r="B81" s="8"/>
      <c r="C81" s="9"/>
      <c r="D81" s="9"/>
      <c r="E81" s="9"/>
      <c r="F81" s="9"/>
      <c r="G81" s="9"/>
      <c r="H81" s="9"/>
      <c r="I81" s="9"/>
      <c r="J81" s="9"/>
      <c r="K81" s="9"/>
      <c r="L81" s="9"/>
    </row>
    <row r="82" spans="1:12">
      <c r="A82" s="8"/>
      <c r="B82" s="8"/>
      <c r="C82" s="9"/>
      <c r="D82" s="9"/>
      <c r="E82" s="9"/>
      <c r="F82" s="9"/>
      <c r="G82" s="9"/>
      <c r="H82" s="9"/>
      <c r="I82" s="9"/>
      <c r="J82" s="9"/>
      <c r="K82" s="9"/>
      <c r="L82" s="9"/>
    </row>
    <row r="83" spans="1:12">
      <c r="A83" s="8"/>
      <c r="B83" s="8"/>
      <c r="C83" s="9"/>
      <c r="D83" s="9"/>
      <c r="E83" s="9"/>
      <c r="F83" s="9"/>
      <c r="G83" s="9"/>
      <c r="H83" s="9"/>
      <c r="I83" s="9"/>
      <c r="J83" s="9"/>
      <c r="K83" s="9"/>
      <c r="L83" s="9"/>
    </row>
    <row r="84" spans="1:12" ht="15.75" thickBot="1">
      <c r="A84" s="10"/>
      <c r="B84" s="10"/>
      <c r="C84" s="11"/>
      <c r="D84" s="11"/>
      <c r="E84" s="11"/>
      <c r="F84" s="11"/>
      <c r="G84" s="11"/>
      <c r="H84" s="11"/>
      <c r="I84" s="11"/>
      <c r="J84" s="11"/>
      <c r="K84" s="11"/>
      <c r="L84" s="11"/>
    </row>
    <row r="85" spans="1:12">
      <c r="A85" s="19"/>
      <c r="B85" s="19"/>
      <c r="C85" s="12"/>
      <c r="D85" s="12"/>
      <c r="E85" s="12"/>
      <c r="F85" s="12"/>
      <c r="G85" s="12"/>
      <c r="H85" s="12"/>
      <c r="I85" s="12"/>
      <c r="J85" s="12"/>
      <c r="K85" s="12"/>
      <c r="L85" s="1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BV170"/>
  <sheetViews>
    <sheetView topLeftCell="A28" zoomScale="70" zoomScaleNormal="70" workbookViewId="0">
      <selection activeCell="C72" sqref="C72"/>
    </sheetView>
  </sheetViews>
  <sheetFormatPr defaultRowHeight="15"/>
  <cols>
    <col min="2" max="2" width="23.85546875" customWidth="1"/>
    <col min="3" max="3" width="19.28515625" customWidth="1"/>
    <col min="4" max="4" width="14" customWidth="1"/>
    <col min="5" max="5" width="12.85546875" customWidth="1"/>
    <col min="7" max="7" width="14.85546875" customWidth="1"/>
    <col min="10" max="10" width="13" customWidth="1"/>
    <col min="43" max="43" width="13.140625" bestFit="1" customWidth="1"/>
  </cols>
  <sheetData>
    <row r="2" spans="1:10" s="24" customFormat="1" ht="12"/>
    <row r="3" spans="1:10" s="24" customFormat="1" ht="12"/>
    <row r="4" spans="1:10" s="24" customFormat="1" ht="12">
      <c r="C4" s="24" t="s">
        <v>106</v>
      </c>
    </row>
    <row r="5" spans="1:10" s="24" customFormat="1" ht="12">
      <c r="C5" s="24" t="s">
        <v>109</v>
      </c>
      <c r="F5" s="44">
        <v>138200</v>
      </c>
      <c r="G5" s="44"/>
    </row>
    <row r="6" spans="1:10" s="24" customFormat="1" ht="12">
      <c r="C6" s="24" t="s">
        <v>108</v>
      </c>
      <c r="F6" s="44">
        <v>100000</v>
      </c>
      <c r="G6" s="44"/>
    </row>
    <row r="7" spans="1:10" s="24" customFormat="1" ht="12">
      <c r="C7" s="24" t="s">
        <v>110</v>
      </c>
      <c r="F7" s="44">
        <v>91600</v>
      </c>
      <c r="G7" s="44"/>
    </row>
    <row r="8" spans="1:10" s="24" customFormat="1" ht="12">
      <c r="C8" s="24" t="s">
        <v>146</v>
      </c>
      <c r="F8" s="44">
        <v>136600</v>
      </c>
      <c r="G8" s="44"/>
    </row>
    <row r="9" spans="1:10" s="24" customFormat="1" ht="12">
      <c r="C9" s="24" t="s">
        <v>111</v>
      </c>
      <c r="F9" s="44">
        <v>1000000000000</v>
      </c>
      <c r="G9" s="44"/>
    </row>
    <row r="10" spans="1:10" s="24" customFormat="1" ht="12">
      <c r="F10" s="44"/>
      <c r="G10" s="44"/>
    </row>
    <row r="11" spans="1:10" s="158" customFormat="1" ht="18.75">
      <c r="A11" s="159" t="s">
        <v>177</v>
      </c>
    </row>
    <row r="12" spans="1:10" s="158" customFormat="1" ht="18.75"/>
    <row r="13" spans="1:10" s="24" customFormat="1" ht="12">
      <c r="B13" s="24" t="s">
        <v>117</v>
      </c>
    </row>
    <row r="14" spans="1:10" s="24" customFormat="1">
      <c r="B14" s="43" t="s">
        <v>47</v>
      </c>
    </row>
    <row r="15" spans="1:10" s="24" customFormat="1" ht="12.75" thickBot="1"/>
    <row r="16" spans="1:10" s="24" customFormat="1" ht="15" customHeight="1">
      <c r="B16" s="527">
        <v>2009</v>
      </c>
      <c r="C16" s="522" t="s">
        <v>50</v>
      </c>
      <c r="D16" s="522"/>
      <c r="E16" s="522"/>
      <c r="F16" s="522"/>
      <c r="G16" s="522"/>
      <c r="H16" s="522"/>
      <c r="I16" s="522"/>
      <c r="J16" s="529" t="s">
        <v>54</v>
      </c>
    </row>
    <row r="17" spans="2:12" s="24" customFormat="1" ht="36">
      <c r="B17" s="528"/>
      <c r="C17" s="48" t="s">
        <v>51</v>
      </c>
      <c r="D17" s="48" t="s">
        <v>121</v>
      </c>
      <c r="E17" s="48" t="s">
        <v>48</v>
      </c>
      <c r="F17" s="48" t="s">
        <v>52</v>
      </c>
      <c r="G17" s="48" t="s">
        <v>53</v>
      </c>
      <c r="H17" s="48" t="s">
        <v>115</v>
      </c>
      <c r="I17" s="48" t="s">
        <v>49</v>
      </c>
      <c r="J17" s="530"/>
    </row>
    <row r="18" spans="2:12" s="24" customFormat="1" ht="12">
      <c r="B18" s="49" t="s">
        <v>55</v>
      </c>
      <c r="C18" s="52">
        <v>3.2</v>
      </c>
      <c r="D18" s="52"/>
      <c r="E18" s="52">
        <v>0.3</v>
      </c>
      <c r="F18" s="52">
        <v>0.6</v>
      </c>
      <c r="G18" s="52">
        <v>0.7</v>
      </c>
      <c r="H18" s="52">
        <v>0.3</v>
      </c>
      <c r="I18" s="52">
        <v>5.0999999999999996</v>
      </c>
      <c r="J18" s="53">
        <v>1.5</v>
      </c>
    </row>
    <row r="19" spans="2:12" s="24" customFormat="1" ht="12">
      <c r="B19" s="49" t="s">
        <v>102</v>
      </c>
      <c r="C19" s="54">
        <f>C18*$F$9</f>
        <v>3200000000000</v>
      </c>
      <c r="D19" s="54"/>
      <c r="E19" s="54">
        <f t="shared" ref="E19:J19" si="0">E18*$F$9</f>
        <v>300000000000</v>
      </c>
      <c r="F19" s="54">
        <f t="shared" si="0"/>
        <v>600000000000</v>
      </c>
      <c r="G19" s="54">
        <f t="shared" si="0"/>
        <v>700000000000</v>
      </c>
      <c r="H19" s="54">
        <f t="shared" si="0"/>
        <v>300000000000</v>
      </c>
      <c r="I19" s="54">
        <f t="shared" si="0"/>
        <v>5100000000000</v>
      </c>
      <c r="J19" s="55">
        <f t="shared" si="0"/>
        <v>1500000000000</v>
      </c>
    </row>
    <row r="20" spans="2:12" s="24" customFormat="1" ht="12">
      <c r="B20" s="49" t="s">
        <v>100</v>
      </c>
      <c r="C20" s="54"/>
      <c r="D20" s="54"/>
      <c r="E20" s="54"/>
      <c r="F20" s="54"/>
      <c r="G20" s="54"/>
      <c r="H20" s="54"/>
      <c r="I20" s="54"/>
      <c r="J20" s="55"/>
    </row>
    <row r="21" spans="2:12" s="24" customFormat="1" ht="12.75" thickBot="1">
      <c r="B21" s="51" t="s">
        <v>101</v>
      </c>
      <c r="C21" s="56">
        <f>C19/F5</f>
        <v>23154848.046309695</v>
      </c>
      <c r="D21" s="56"/>
      <c r="E21" s="56">
        <f>E19/F7</f>
        <v>3275109.1703056768</v>
      </c>
      <c r="F21" s="56"/>
      <c r="G21" s="56">
        <f>G19/F5</f>
        <v>5065123.0101302462</v>
      </c>
      <c r="H21" s="56"/>
      <c r="I21" s="56"/>
      <c r="J21" s="57"/>
    </row>
    <row r="22" spans="2:12" s="45" customFormat="1" ht="12"/>
    <row r="23" spans="2:12" s="45" customFormat="1" ht="12">
      <c r="B23" s="45" t="s">
        <v>118</v>
      </c>
    </row>
    <row r="24" spans="2:12" s="45" customFormat="1">
      <c r="B24" s="103" t="s">
        <v>114</v>
      </c>
    </row>
    <row r="25" spans="2:12" s="45" customFormat="1" ht="12.75" thickBot="1"/>
    <row r="26" spans="2:12" s="45" customFormat="1" ht="15" customHeight="1">
      <c r="B26" s="527">
        <v>2009</v>
      </c>
      <c r="C26" s="522" t="s">
        <v>50</v>
      </c>
      <c r="D26" s="522"/>
      <c r="E26" s="522"/>
      <c r="F26" s="522"/>
      <c r="G26" s="522"/>
      <c r="H26" s="522"/>
      <c r="I26" s="522"/>
      <c r="J26" s="529" t="s">
        <v>54</v>
      </c>
    </row>
    <row r="27" spans="2:12" s="45" customFormat="1" ht="36">
      <c r="B27" s="528"/>
      <c r="C27" s="48" t="s">
        <v>51</v>
      </c>
      <c r="D27" s="48" t="s">
        <v>121</v>
      </c>
      <c r="E27" s="48" t="s">
        <v>48</v>
      </c>
      <c r="F27" s="48" t="s">
        <v>52</v>
      </c>
      <c r="G27" s="48" t="s">
        <v>53</v>
      </c>
      <c r="H27" s="48" t="s">
        <v>115</v>
      </c>
      <c r="I27" s="48" t="s">
        <v>49</v>
      </c>
      <c r="J27" s="530"/>
    </row>
    <row r="28" spans="2:12" s="45" customFormat="1" ht="12">
      <c r="B28" s="49" t="s">
        <v>55</v>
      </c>
      <c r="C28" s="47">
        <v>4.2</v>
      </c>
      <c r="D28" s="47">
        <v>0.1</v>
      </c>
      <c r="E28" s="47">
        <v>2.7</v>
      </c>
      <c r="F28" s="47">
        <v>2.7</v>
      </c>
      <c r="G28" s="47">
        <v>0</v>
      </c>
      <c r="H28" s="47">
        <v>0.6</v>
      </c>
      <c r="I28" s="47">
        <v>7.6</v>
      </c>
      <c r="J28" s="50">
        <v>0.6</v>
      </c>
    </row>
    <row r="29" spans="2:12" s="45" customFormat="1" ht="12">
      <c r="B29" s="49" t="s">
        <v>102</v>
      </c>
      <c r="C29" s="54">
        <f>C28*$F$9</f>
        <v>4200000000000</v>
      </c>
      <c r="D29" s="54">
        <f>D28*F9</f>
        <v>100000000000</v>
      </c>
      <c r="E29" s="54">
        <f t="shared" ref="E29:J29" si="1">E28*$F$9</f>
        <v>2700000000000</v>
      </c>
      <c r="F29" s="54">
        <f t="shared" si="1"/>
        <v>2700000000000</v>
      </c>
      <c r="G29" s="54">
        <f t="shared" si="1"/>
        <v>0</v>
      </c>
      <c r="H29" s="54">
        <f t="shared" si="1"/>
        <v>600000000000</v>
      </c>
      <c r="I29" s="54">
        <f t="shared" si="1"/>
        <v>7600000000000</v>
      </c>
      <c r="J29" s="55">
        <f t="shared" si="1"/>
        <v>600000000000</v>
      </c>
    </row>
    <row r="30" spans="2:12" s="45" customFormat="1" ht="12">
      <c r="B30" s="49" t="s">
        <v>100</v>
      </c>
      <c r="C30" s="54"/>
      <c r="D30" s="54"/>
      <c r="E30" s="54"/>
      <c r="F30" s="54"/>
      <c r="G30" s="54"/>
      <c r="H30" s="54"/>
      <c r="I30" s="54"/>
      <c r="J30" s="55"/>
    </row>
    <row r="31" spans="2:12" s="24" customFormat="1" ht="12.75" thickBot="1">
      <c r="B31" s="51" t="s">
        <v>101</v>
      </c>
      <c r="C31" s="56">
        <f>C29/F5</f>
        <v>30390738.060781475</v>
      </c>
      <c r="D31" s="56">
        <f>D29/F8</f>
        <v>732064.42166910693</v>
      </c>
      <c r="E31" s="56">
        <f>E29/F7</f>
        <v>29475982.532751091</v>
      </c>
      <c r="F31" s="56">
        <f>F29/F5</f>
        <v>19536903.039073806</v>
      </c>
      <c r="G31" s="56"/>
      <c r="H31" s="56"/>
      <c r="I31" s="56"/>
      <c r="J31" s="57"/>
    </row>
    <row r="32" spans="2:12" s="24" customFormat="1" ht="12">
      <c r="B32" s="45"/>
      <c r="C32" s="45"/>
      <c r="D32" s="46"/>
      <c r="E32" s="46"/>
      <c r="F32" s="46"/>
      <c r="G32" s="46"/>
      <c r="H32" s="46"/>
      <c r="I32" s="46"/>
      <c r="J32" s="46"/>
      <c r="K32" s="46"/>
      <c r="L32" s="46"/>
    </row>
    <row r="33" spans="2:12" s="24" customFormat="1" ht="12">
      <c r="B33" s="45"/>
      <c r="C33" s="45"/>
      <c r="D33" s="46"/>
      <c r="E33" s="46"/>
      <c r="F33" s="46"/>
      <c r="G33" s="46"/>
      <c r="H33" s="46"/>
      <c r="I33" s="46"/>
      <c r="J33" s="46"/>
      <c r="K33" s="46"/>
      <c r="L33" s="46"/>
    </row>
    <row r="34" spans="2:12" s="24" customFormat="1" ht="12.75" thickBot="1">
      <c r="B34" s="45" t="s">
        <v>119</v>
      </c>
      <c r="C34" s="45"/>
      <c r="D34" s="46"/>
      <c r="E34" s="46"/>
      <c r="F34" s="46"/>
      <c r="G34" s="46"/>
      <c r="H34" s="46"/>
      <c r="I34" s="46"/>
      <c r="J34" s="46"/>
      <c r="K34" s="46"/>
      <c r="L34" s="46"/>
    </row>
    <row r="35" spans="2:12" s="45" customFormat="1" ht="12">
      <c r="B35" s="525">
        <v>2009</v>
      </c>
      <c r="C35" s="522" t="s">
        <v>50</v>
      </c>
      <c r="D35" s="522"/>
      <c r="E35" s="522"/>
      <c r="F35" s="522"/>
      <c r="G35" s="522"/>
      <c r="H35" s="522"/>
      <c r="I35" s="522"/>
      <c r="J35" s="523" t="s">
        <v>54</v>
      </c>
    </row>
    <row r="36" spans="2:12" s="45" customFormat="1" ht="36">
      <c r="B36" s="526"/>
      <c r="C36" s="48" t="s">
        <v>51</v>
      </c>
      <c r="D36" s="48" t="s">
        <v>121</v>
      </c>
      <c r="E36" s="48" t="s">
        <v>48</v>
      </c>
      <c r="F36" s="48" t="s">
        <v>52</v>
      </c>
      <c r="G36" s="48" t="s">
        <v>53</v>
      </c>
      <c r="H36" s="48" t="s">
        <v>115</v>
      </c>
      <c r="I36" s="48" t="s">
        <v>49</v>
      </c>
      <c r="J36" s="524"/>
    </row>
    <row r="37" spans="2:12" s="45" customFormat="1" ht="12">
      <c r="B37" s="64" t="s">
        <v>122</v>
      </c>
      <c r="C37" s="48"/>
      <c r="D37" s="48"/>
      <c r="E37" s="48"/>
      <c r="F37" s="48"/>
      <c r="G37" s="48"/>
      <c r="H37" s="48"/>
      <c r="I37" s="48"/>
      <c r="J37" s="65">
        <f>J28+J18</f>
        <v>2.1</v>
      </c>
    </row>
    <row r="38" spans="2:12" s="45" customFormat="1" ht="12">
      <c r="B38" s="49" t="s">
        <v>100</v>
      </c>
      <c r="C38" s="58">
        <f>C30+C20</f>
        <v>0</v>
      </c>
      <c r="D38" s="58"/>
      <c r="E38" s="58">
        <f t="shared" ref="E38:J39" si="2">E30+E20</f>
        <v>0</v>
      </c>
      <c r="F38" s="58">
        <f t="shared" si="2"/>
        <v>0</v>
      </c>
      <c r="G38" s="58">
        <f t="shared" si="2"/>
        <v>0</v>
      </c>
      <c r="H38" s="58">
        <f t="shared" si="2"/>
        <v>0</v>
      </c>
      <c r="I38" s="58">
        <f t="shared" si="2"/>
        <v>0</v>
      </c>
      <c r="J38" s="59">
        <f t="shared" si="2"/>
        <v>0</v>
      </c>
    </row>
    <row r="39" spans="2:12" s="45" customFormat="1" ht="12.75" thickBot="1">
      <c r="B39" s="51" t="s">
        <v>101</v>
      </c>
      <c r="C39" s="60">
        <f>C31+C21</f>
        <v>53545586.107091174</v>
      </c>
      <c r="D39" s="60">
        <f>D31</f>
        <v>732064.42166910693</v>
      </c>
      <c r="E39" s="60">
        <f t="shared" si="2"/>
        <v>32751091.703056768</v>
      </c>
      <c r="F39" s="60">
        <f t="shared" si="2"/>
        <v>19536903.039073806</v>
      </c>
      <c r="G39" s="60">
        <f t="shared" si="2"/>
        <v>5065123.0101302462</v>
      </c>
      <c r="H39" s="60">
        <f t="shared" si="2"/>
        <v>0</v>
      </c>
      <c r="I39" s="60">
        <f t="shared" si="2"/>
        <v>0</v>
      </c>
      <c r="J39" s="61">
        <f t="shared" si="2"/>
        <v>0</v>
      </c>
    </row>
    <row r="40" spans="2:12" s="45" customFormat="1" ht="12"/>
    <row r="41" spans="2:12" s="45" customFormat="1" ht="12.75" thickBot="1">
      <c r="B41" s="45" t="s">
        <v>120</v>
      </c>
    </row>
    <row r="42" spans="2:12" s="45" customFormat="1" ht="12">
      <c r="B42" s="525">
        <v>2009</v>
      </c>
      <c r="C42" s="522" t="s">
        <v>50</v>
      </c>
      <c r="D42" s="522"/>
      <c r="E42" s="522"/>
      <c r="F42" s="522"/>
      <c r="G42" s="522"/>
      <c r="H42" s="522"/>
      <c r="I42" s="522"/>
      <c r="J42" s="523" t="s">
        <v>54</v>
      </c>
    </row>
    <row r="43" spans="2:12" s="45" customFormat="1" ht="36">
      <c r="B43" s="526"/>
      <c r="C43" s="48" t="s">
        <v>51</v>
      </c>
      <c r="D43" s="48" t="s">
        <v>121</v>
      </c>
      <c r="E43" s="48" t="s">
        <v>48</v>
      </c>
      <c r="F43" s="48" t="s">
        <v>52</v>
      </c>
      <c r="G43" s="48" t="s">
        <v>53</v>
      </c>
      <c r="H43" s="48" t="s">
        <v>115</v>
      </c>
      <c r="I43" s="48" t="s">
        <v>49</v>
      </c>
      <c r="J43" s="524"/>
    </row>
    <row r="44" spans="2:12" s="24" customFormat="1" ht="12">
      <c r="B44" s="154" t="s">
        <v>116</v>
      </c>
      <c r="C44" s="156">
        <v>0.15</v>
      </c>
      <c r="D44" s="156">
        <v>0.2</v>
      </c>
      <c r="E44" s="156">
        <v>0.15</v>
      </c>
      <c r="F44" s="156"/>
      <c r="G44" s="156">
        <v>0.15</v>
      </c>
      <c r="H44" s="155"/>
      <c r="I44" s="155"/>
      <c r="J44" s="157">
        <v>0.25</v>
      </c>
    </row>
    <row r="45" spans="2:12" s="24" customFormat="1" ht="12">
      <c r="B45" s="67" t="s">
        <v>125</v>
      </c>
      <c r="C45" s="62"/>
      <c r="D45" s="62"/>
      <c r="E45" s="62"/>
      <c r="F45" s="62"/>
      <c r="G45" s="62"/>
      <c r="H45" s="47"/>
      <c r="I45" s="47"/>
      <c r="J45" s="66">
        <f>J44*J37*1000000</f>
        <v>525000</v>
      </c>
    </row>
    <row r="46" spans="2:12" s="24" customFormat="1" ht="12">
      <c r="B46" s="49" t="s">
        <v>100</v>
      </c>
      <c r="C46" s="54"/>
      <c r="D46" s="54"/>
      <c r="E46" s="54"/>
      <c r="F46" s="54"/>
      <c r="G46" s="54"/>
      <c r="H46" s="47"/>
      <c r="I46" s="47"/>
      <c r="J46" s="50"/>
    </row>
    <row r="47" spans="2:12" s="24" customFormat="1" ht="12">
      <c r="B47" s="49" t="s">
        <v>101</v>
      </c>
      <c r="C47" s="54">
        <f>C21*C44</f>
        <v>3473227.206946454</v>
      </c>
      <c r="D47" s="54">
        <f>D39</f>
        <v>732064.42166910693</v>
      </c>
      <c r="E47" s="54">
        <f>E21*E44</f>
        <v>491266.37554585148</v>
      </c>
      <c r="F47" s="54"/>
      <c r="G47" s="54">
        <f>G21*G44</f>
        <v>759768.4515195369</v>
      </c>
      <c r="H47" s="63"/>
      <c r="I47" s="47"/>
      <c r="J47" s="50"/>
    </row>
    <row r="49" spans="1:10" s="158" customFormat="1" ht="18.75">
      <c r="A49" s="159" t="s">
        <v>161</v>
      </c>
    </row>
    <row r="51" spans="1:10" s="20" customFormat="1" ht="15.75" customHeight="1">
      <c r="B51" s="120"/>
      <c r="C51" s="132" t="s">
        <v>113</v>
      </c>
      <c r="D51" s="133"/>
      <c r="E51" s="134"/>
      <c r="F51" s="531" t="s">
        <v>150</v>
      </c>
      <c r="G51" s="531"/>
      <c r="H51" s="118"/>
      <c r="I51" s="118"/>
      <c r="J51" s="118"/>
    </row>
    <row r="52" spans="1:10" s="20" customFormat="1" ht="55.5" customHeight="1">
      <c r="B52" s="130" t="s">
        <v>155</v>
      </c>
      <c r="C52" s="131" t="s">
        <v>154</v>
      </c>
      <c r="D52" s="112" t="s">
        <v>24</v>
      </c>
      <c r="E52" s="112" t="s">
        <v>25</v>
      </c>
      <c r="F52" s="113" t="s">
        <v>149</v>
      </c>
      <c r="G52" s="113" t="s">
        <v>148</v>
      </c>
      <c r="H52" s="119"/>
      <c r="I52" s="118"/>
      <c r="J52" s="118"/>
    </row>
    <row r="53" spans="1:10" s="20" customFormat="1" ht="12.75">
      <c r="B53" s="121" t="s">
        <v>26</v>
      </c>
      <c r="C53" s="114">
        <f>'2009 Usage and Savings'!B3</f>
        <v>2767796</v>
      </c>
      <c r="D53" s="114">
        <v>4067392</v>
      </c>
      <c r="E53" s="114">
        <v>85036.7</v>
      </c>
      <c r="F53" s="115"/>
      <c r="G53" s="115"/>
      <c r="H53" s="118"/>
      <c r="I53" s="118"/>
      <c r="J53" s="118"/>
    </row>
    <row r="54" spans="1:10" s="20" customFormat="1" ht="12.75">
      <c r="B54" s="122" t="s">
        <v>27</v>
      </c>
      <c r="C54" s="114">
        <f>'2009 Usage and Savings'!B4</f>
        <v>0</v>
      </c>
      <c r="D54" s="114">
        <v>14937</v>
      </c>
      <c r="E54" s="114">
        <v>0</v>
      </c>
      <c r="F54" s="115"/>
      <c r="G54" s="115"/>
      <c r="H54" s="118"/>
      <c r="I54" s="118"/>
      <c r="J54" s="118"/>
    </row>
    <row r="55" spans="1:10" s="20" customFormat="1" ht="12.75">
      <c r="B55" s="122" t="s">
        <v>28</v>
      </c>
      <c r="C55" s="116">
        <v>261050319</v>
      </c>
      <c r="D55" s="116">
        <v>85581711</v>
      </c>
      <c r="E55" s="116">
        <v>3683000</v>
      </c>
      <c r="F55" s="115">
        <v>1282</v>
      </c>
      <c r="G55" s="117">
        <v>13570466</v>
      </c>
      <c r="H55" s="118"/>
      <c r="I55" s="118"/>
      <c r="J55" s="118"/>
    </row>
    <row r="56" spans="1:10" s="20" customFormat="1" ht="12.75">
      <c r="B56" s="122" t="s">
        <v>29</v>
      </c>
      <c r="C56" s="114">
        <v>3012041</v>
      </c>
      <c r="D56" s="114">
        <v>15324571</v>
      </c>
      <c r="E56" s="114">
        <v>20891.5</v>
      </c>
      <c r="F56" s="115"/>
      <c r="G56" s="115"/>
      <c r="H56" s="118"/>
      <c r="I56" s="118"/>
      <c r="J56" s="118"/>
    </row>
    <row r="57" spans="1:10" s="20" customFormat="1" ht="12.75">
      <c r="B57" s="122" t="s">
        <v>30</v>
      </c>
      <c r="C57" s="114">
        <v>80126375</v>
      </c>
      <c r="D57" s="114">
        <v>48696069</v>
      </c>
      <c r="E57" s="114">
        <v>1212451.7</v>
      </c>
      <c r="F57" s="115">
        <v>455</v>
      </c>
      <c r="G57" s="117">
        <v>3529622</v>
      </c>
      <c r="H57" s="118"/>
      <c r="I57" s="118"/>
      <c r="J57" s="118"/>
    </row>
    <row r="58" spans="1:10" s="20" customFormat="1" ht="12.75">
      <c r="B58" s="122" t="s">
        <v>31</v>
      </c>
      <c r="C58" s="114">
        <v>37461060</v>
      </c>
      <c r="D58" s="114">
        <v>24561712</v>
      </c>
      <c r="E58" s="114">
        <v>1581553.4</v>
      </c>
      <c r="F58" s="115"/>
      <c r="G58" s="115"/>
      <c r="H58" s="118"/>
      <c r="I58" s="118"/>
      <c r="J58" s="118"/>
    </row>
    <row r="59" spans="1:10" s="20" customFormat="1" ht="12.75">
      <c r="B59" s="122" t="s">
        <v>32</v>
      </c>
      <c r="C59" s="114">
        <v>28075265</v>
      </c>
      <c r="D59" s="114">
        <v>31415140</v>
      </c>
      <c r="E59" s="114">
        <v>4772578.2</v>
      </c>
      <c r="F59" s="115">
        <v>580</v>
      </c>
      <c r="G59" s="117">
        <v>8514313</v>
      </c>
      <c r="H59" s="118"/>
      <c r="I59" s="118"/>
      <c r="J59" s="118"/>
    </row>
    <row r="60" spans="1:10" s="20" customFormat="1" ht="12.75">
      <c r="B60" s="122" t="s">
        <v>33</v>
      </c>
      <c r="C60" s="114">
        <v>7256471</v>
      </c>
      <c r="D60" s="114">
        <v>13698115</v>
      </c>
      <c r="E60" s="114">
        <v>258416.9</v>
      </c>
      <c r="F60" s="115">
        <v>24</v>
      </c>
      <c r="G60" s="117">
        <v>33408</v>
      </c>
      <c r="H60" s="118"/>
      <c r="I60" s="118"/>
      <c r="J60" s="118"/>
    </row>
    <row r="61" spans="1:10" s="20" customFormat="1" ht="12.75">
      <c r="B61" s="122" t="s">
        <v>34</v>
      </c>
      <c r="C61" s="114">
        <v>594277</v>
      </c>
      <c r="D61" s="114">
        <v>5721920</v>
      </c>
      <c r="E61" s="114">
        <v>-456</v>
      </c>
      <c r="F61" s="115"/>
      <c r="G61" s="115"/>
      <c r="H61" s="118"/>
      <c r="I61" s="118"/>
      <c r="J61" s="118"/>
    </row>
    <row r="62" spans="1:10" s="20" customFormat="1" ht="12.75">
      <c r="B62" s="122" t="s">
        <v>35</v>
      </c>
      <c r="C62" s="114">
        <v>5702759</v>
      </c>
      <c r="D62" s="114">
        <v>15249432</v>
      </c>
      <c r="E62" s="114">
        <v>17758.599999999999</v>
      </c>
      <c r="F62" s="115">
        <v>17</v>
      </c>
      <c r="G62" s="117">
        <v>44175</v>
      </c>
      <c r="H62" s="118"/>
      <c r="I62" s="118"/>
      <c r="J62" s="118"/>
    </row>
    <row r="63" spans="1:10" s="20" customFormat="1" ht="12.75">
      <c r="B63" s="122" t="s">
        <v>36</v>
      </c>
      <c r="C63" s="114">
        <v>32025718</v>
      </c>
      <c r="D63" s="114">
        <v>32653197</v>
      </c>
      <c r="E63" s="114">
        <v>846203</v>
      </c>
      <c r="F63" s="115">
        <v>152</v>
      </c>
      <c r="G63" s="117">
        <v>675469</v>
      </c>
      <c r="H63" s="118"/>
      <c r="I63" s="118"/>
      <c r="J63" s="118"/>
    </row>
    <row r="64" spans="1:10" s="20" customFormat="1" ht="12.75">
      <c r="B64" s="122" t="s">
        <v>37</v>
      </c>
      <c r="C64" s="114">
        <v>5385400</v>
      </c>
      <c r="D64" s="114">
        <v>13169921</v>
      </c>
      <c r="E64" s="114">
        <v>35253.599999999999</v>
      </c>
      <c r="F64" s="115"/>
      <c r="G64" s="115"/>
      <c r="H64" s="118"/>
      <c r="I64" s="118"/>
      <c r="J64" s="118"/>
    </row>
    <row r="65" spans="1:25" s="20" customFormat="1" ht="12.75">
      <c r="B65" s="122" t="s">
        <v>38</v>
      </c>
      <c r="C65" s="114">
        <v>25780694</v>
      </c>
      <c r="D65" s="114">
        <v>24409693</v>
      </c>
      <c r="E65" s="114">
        <v>672179.9</v>
      </c>
      <c r="F65" s="115"/>
      <c r="G65" s="117">
        <v>667962</v>
      </c>
      <c r="H65" s="118"/>
      <c r="I65" s="118"/>
      <c r="J65" s="118"/>
    </row>
    <row r="66" spans="1:25" s="20" customFormat="1" ht="12.75">
      <c r="B66" s="122" t="s">
        <v>39</v>
      </c>
      <c r="C66" s="114">
        <v>174124180</v>
      </c>
      <c r="D66" s="114">
        <v>51222208</v>
      </c>
      <c r="E66" s="114">
        <v>2695286.8</v>
      </c>
      <c r="F66" s="115">
        <v>1048</v>
      </c>
      <c r="G66" s="117">
        <v>5618933</v>
      </c>
      <c r="H66" s="118"/>
      <c r="I66" s="118"/>
      <c r="J66" s="118"/>
    </row>
    <row r="67" spans="1:25" s="20" customFormat="1" ht="12.75">
      <c r="B67" s="122" t="s">
        <v>40</v>
      </c>
      <c r="C67" s="114">
        <v>466903</v>
      </c>
      <c r="D67" s="114">
        <v>2196267</v>
      </c>
      <c r="E67" s="114">
        <v>0</v>
      </c>
      <c r="F67" s="115"/>
      <c r="G67" s="115"/>
      <c r="H67" s="118"/>
      <c r="I67" s="118"/>
      <c r="J67" s="118"/>
    </row>
    <row r="68" spans="1:25" s="20" customFormat="1" ht="12.75">
      <c r="B68" s="122" t="s">
        <v>41</v>
      </c>
      <c r="C68" s="114">
        <v>1234136</v>
      </c>
      <c r="D68" s="114">
        <v>9727605</v>
      </c>
      <c r="E68" s="114">
        <v>1568.3</v>
      </c>
      <c r="F68" s="115">
        <v>4</v>
      </c>
      <c r="G68" s="117">
        <v>1902</v>
      </c>
      <c r="H68" s="118"/>
      <c r="I68" s="118"/>
      <c r="J68" s="118"/>
    </row>
    <row r="69" spans="1:25" s="20" customFormat="1" ht="12.75">
      <c r="B69" s="122" t="s">
        <v>42</v>
      </c>
      <c r="C69" s="114">
        <v>609653</v>
      </c>
      <c r="D69" s="114">
        <v>6710615</v>
      </c>
      <c r="E69" s="114">
        <v>9539.7000000000007</v>
      </c>
      <c r="F69" s="115"/>
      <c r="G69" s="115"/>
      <c r="H69" s="118"/>
      <c r="I69" s="118"/>
      <c r="J69" s="118"/>
    </row>
    <row r="70" spans="1:25" s="20" customFormat="1" ht="12.75">
      <c r="B70" s="122" t="s">
        <v>43</v>
      </c>
      <c r="C70" s="114">
        <v>84945422</v>
      </c>
      <c r="D70" s="114">
        <v>25722336</v>
      </c>
      <c r="E70" s="114">
        <v>1558980</v>
      </c>
      <c r="F70" s="115">
        <v>763</v>
      </c>
      <c r="G70" s="117">
        <v>3161143</v>
      </c>
      <c r="H70" s="118"/>
      <c r="I70" s="118"/>
      <c r="J70" s="118"/>
    </row>
    <row r="71" spans="1:25" s="20" customFormat="1" ht="12.75">
      <c r="B71" s="122" t="s">
        <v>44</v>
      </c>
      <c r="C71" s="114">
        <v>25817970</v>
      </c>
      <c r="D71" s="114">
        <v>16339856</v>
      </c>
      <c r="E71" s="114">
        <v>757104.6</v>
      </c>
      <c r="F71" s="115">
        <v>200</v>
      </c>
      <c r="G71" s="117">
        <v>928463</v>
      </c>
      <c r="H71" s="118"/>
      <c r="I71" s="118"/>
      <c r="J71" s="118"/>
    </row>
    <row r="72" spans="1:25" s="20" customFormat="1" ht="12.75">
      <c r="B72" s="22"/>
      <c r="C72" s="22">
        <f>SUM(C53:C71)</f>
        <v>776436439</v>
      </c>
      <c r="D72" s="22">
        <f>SUM(D53:D71)</f>
        <v>426482697</v>
      </c>
      <c r="E72" s="22">
        <f>SUM(E53:E71)</f>
        <v>18207346.900000002</v>
      </c>
      <c r="G72" s="123">
        <f>SUM(G53:G71)</f>
        <v>36745856</v>
      </c>
      <c r="H72" s="118"/>
      <c r="I72" s="118"/>
      <c r="J72" s="118"/>
    </row>
    <row r="73" spans="1:25" s="20" customFormat="1" ht="12.75">
      <c r="B73" s="20" t="s">
        <v>168</v>
      </c>
      <c r="C73" s="22"/>
      <c r="D73" s="26"/>
      <c r="E73" s="26"/>
      <c r="G73" s="123"/>
      <c r="H73" s="118"/>
      <c r="I73" s="118"/>
      <c r="J73" s="118"/>
    </row>
    <row r="74" spans="1:25" s="20" customFormat="1" ht="12.75">
      <c r="B74" s="164" t="s">
        <v>169</v>
      </c>
      <c r="C74" s="21"/>
      <c r="G74" s="118"/>
      <c r="H74" s="118"/>
      <c r="I74" s="118"/>
    </row>
    <row r="75" spans="1:25" s="158" customFormat="1" ht="18.75">
      <c r="A75" s="159" t="s">
        <v>162</v>
      </c>
    </row>
    <row r="76" spans="1:25">
      <c r="B76" s="29" t="s">
        <v>56</v>
      </c>
      <c r="C76" s="29"/>
      <c r="D76" s="29"/>
      <c r="E76" s="29"/>
      <c r="F76" s="29"/>
      <c r="G76" s="29"/>
      <c r="H76" s="29"/>
      <c r="I76" s="29"/>
      <c r="J76" s="29"/>
      <c r="K76" s="29"/>
      <c r="L76" s="29"/>
      <c r="M76" s="29"/>
      <c r="N76" s="29"/>
      <c r="O76" s="29"/>
      <c r="P76" s="29"/>
      <c r="Q76" s="29"/>
      <c r="R76" s="29"/>
      <c r="S76" s="29"/>
      <c r="T76" s="29"/>
      <c r="U76" s="29"/>
    </row>
    <row r="77" spans="1:25" ht="32.25" customHeight="1">
      <c r="B77" s="536" t="s">
        <v>95</v>
      </c>
      <c r="C77" s="537"/>
      <c r="D77" s="537"/>
      <c r="E77" s="537"/>
      <c r="F77" s="537"/>
      <c r="G77" s="537"/>
      <c r="H77" s="537"/>
      <c r="I77" s="537"/>
      <c r="J77" s="537"/>
      <c r="K77" s="537"/>
      <c r="L77" s="537"/>
      <c r="M77" s="29"/>
      <c r="N77" s="29"/>
      <c r="O77" s="29"/>
      <c r="P77" s="29"/>
      <c r="Q77" s="29"/>
      <c r="R77" s="29"/>
      <c r="S77" s="29"/>
      <c r="T77" s="29"/>
      <c r="U77" s="29"/>
    </row>
    <row r="78" spans="1:25" ht="54.75" customHeight="1">
      <c r="B78" s="126"/>
      <c r="C78" s="532" t="s">
        <v>96</v>
      </c>
      <c r="D78" s="533"/>
      <c r="E78" s="533"/>
      <c r="F78" s="533"/>
      <c r="G78" s="533"/>
      <c r="H78" s="70"/>
      <c r="I78" s="70"/>
      <c r="J78" s="70"/>
      <c r="K78" s="70"/>
      <c r="L78" s="70"/>
      <c r="M78" s="36"/>
      <c r="N78" s="532" t="s">
        <v>158</v>
      </c>
      <c r="O78" s="533"/>
      <c r="P78" s="533"/>
      <c r="Q78" s="533"/>
      <c r="R78" s="533"/>
      <c r="S78" s="70"/>
      <c r="T78" s="4"/>
      <c r="U78" s="152" t="s">
        <v>132</v>
      </c>
      <c r="V78" s="153"/>
      <c r="W78" s="153"/>
      <c r="X78" s="153"/>
      <c r="Y78" s="153"/>
    </row>
    <row r="79" spans="1:25" ht="23.25">
      <c r="B79" s="124"/>
      <c r="C79" s="111" t="s">
        <v>94</v>
      </c>
      <c r="D79" s="111" t="s">
        <v>19</v>
      </c>
      <c r="E79" s="111" t="s">
        <v>17</v>
      </c>
      <c r="F79" s="111" t="s">
        <v>57</v>
      </c>
      <c r="G79" s="111" t="s">
        <v>2</v>
      </c>
      <c r="H79" s="135" t="s">
        <v>94</v>
      </c>
      <c r="I79" s="135" t="s">
        <v>19</v>
      </c>
      <c r="J79" s="135" t="s">
        <v>17</v>
      </c>
      <c r="K79" s="135" t="s">
        <v>57</v>
      </c>
      <c r="L79" s="135" t="s">
        <v>2</v>
      </c>
      <c r="M79" s="31"/>
      <c r="N79" s="35" t="s">
        <v>94</v>
      </c>
      <c r="O79" s="35" t="s">
        <v>19</v>
      </c>
      <c r="P79" s="35" t="s">
        <v>17</v>
      </c>
      <c r="Q79" s="35" t="s">
        <v>57</v>
      </c>
      <c r="R79" s="35" t="s">
        <v>2</v>
      </c>
      <c r="S79" s="70"/>
      <c r="T79" s="4"/>
      <c r="U79" s="71"/>
    </row>
    <row r="80" spans="1:25">
      <c r="B80" s="127" t="s">
        <v>58</v>
      </c>
      <c r="C80" s="69"/>
      <c r="D80" s="69"/>
      <c r="E80" s="69"/>
      <c r="F80" s="69"/>
      <c r="G80" s="69"/>
      <c r="H80" s="70"/>
      <c r="I80" s="70"/>
      <c r="J80" s="70"/>
      <c r="K80" s="70"/>
      <c r="L80" s="70"/>
      <c r="M80" s="31"/>
      <c r="N80" s="69"/>
      <c r="O80" s="69"/>
      <c r="P80" s="69"/>
      <c r="Q80" s="69"/>
      <c r="R80" s="70"/>
      <c r="S80" s="70"/>
      <c r="T80" s="4"/>
      <c r="U80" s="129">
        <f>SUM(C81:C84,C87:C88,C91:C98)</f>
        <v>2100</v>
      </c>
    </row>
    <row r="81" spans="2:22">
      <c r="B81" s="128" t="s">
        <v>59</v>
      </c>
      <c r="C81" s="69">
        <v>268</v>
      </c>
      <c r="D81" s="69">
        <v>207</v>
      </c>
      <c r="E81" s="69">
        <v>37</v>
      </c>
      <c r="F81" s="69">
        <v>5</v>
      </c>
      <c r="G81" s="69">
        <v>19</v>
      </c>
      <c r="H81" s="70">
        <v>38.1</v>
      </c>
      <c r="I81" s="70">
        <v>29.5</v>
      </c>
      <c r="J81" s="70">
        <v>5.2</v>
      </c>
      <c r="K81" s="70">
        <v>0.7</v>
      </c>
      <c r="L81" s="70">
        <v>2.7</v>
      </c>
      <c r="M81" s="31"/>
      <c r="N81" s="74">
        <f t="shared" ref="N81:N98" si="3">SUM(O81:R81)</f>
        <v>1</v>
      </c>
      <c r="O81" s="71">
        <f>D81/$C81</f>
        <v>0.77238805970149249</v>
      </c>
      <c r="P81" s="71">
        <f>E81/$C81</f>
        <v>0.13805970149253732</v>
      </c>
      <c r="Q81" s="71">
        <f>F81/$C81</f>
        <v>1.8656716417910446E-2</v>
      </c>
      <c r="R81" s="71">
        <f>G81/$C81</f>
        <v>7.0895522388059698E-2</v>
      </c>
      <c r="S81" s="71">
        <v>1</v>
      </c>
      <c r="T81" s="4"/>
      <c r="U81" s="71">
        <f t="shared" ref="U81:U98" si="4">C81/$U$80</f>
        <v>0.12761904761904763</v>
      </c>
      <c r="V81" s="68"/>
    </row>
    <row r="82" spans="2:22">
      <c r="B82" s="128" t="s">
        <v>60</v>
      </c>
      <c r="C82" s="69">
        <v>39</v>
      </c>
      <c r="D82" s="69">
        <v>27</v>
      </c>
      <c r="E82" s="69">
        <v>2</v>
      </c>
      <c r="F82" s="69">
        <v>8</v>
      </c>
      <c r="G82" s="69" t="s">
        <v>46</v>
      </c>
      <c r="H82" s="70">
        <v>51.7</v>
      </c>
      <c r="I82" s="70">
        <v>35.6</v>
      </c>
      <c r="J82" s="70">
        <v>3.2</v>
      </c>
      <c r="K82" s="70">
        <v>11.2</v>
      </c>
      <c r="L82" s="70" t="s">
        <v>46</v>
      </c>
      <c r="M82" s="31"/>
      <c r="N82" s="74">
        <f t="shared" si="3"/>
        <v>1</v>
      </c>
      <c r="O82" s="71">
        <f t="shared" ref="O82:Q85" si="5">D82/$C82</f>
        <v>0.69230769230769229</v>
      </c>
      <c r="P82" s="71">
        <f t="shared" si="5"/>
        <v>5.128205128205128E-2</v>
      </c>
      <c r="Q82" s="71">
        <f t="shared" si="5"/>
        <v>0.20512820512820512</v>
      </c>
      <c r="R82" s="71">
        <f>1-S82</f>
        <v>5.1282051282051322E-2</v>
      </c>
      <c r="S82" s="71">
        <v>0.94871794871794868</v>
      </c>
      <c r="T82" s="4"/>
      <c r="U82" s="71">
        <f t="shared" si="4"/>
        <v>1.8571428571428572E-2</v>
      </c>
      <c r="V82" s="68"/>
    </row>
    <row r="83" spans="2:22">
      <c r="B83" s="128" t="s">
        <v>61</v>
      </c>
      <c r="C83" s="69">
        <v>203</v>
      </c>
      <c r="D83" s="69">
        <v>54</v>
      </c>
      <c r="E83" s="69">
        <v>56</v>
      </c>
      <c r="F83" s="69">
        <v>91</v>
      </c>
      <c r="G83" s="69" t="s">
        <v>46</v>
      </c>
      <c r="H83" s="70">
        <v>145.6</v>
      </c>
      <c r="I83" s="70">
        <v>39</v>
      </c>
      <c r="J83" s="70">
        <v>40</v>
      </c>
      <c r="K83" s="70">
        <v>65.400000000000006</v>
      </c>
      <c r="L83" s="70" t="s">
        <v>46</v>
      </c>
      <c r="M83" s="31"/>
      <c r="N83" s="74">
        <f t="shared" si="3"/>
        <v>1</v>
      </c>
      <c r="O83" s="71">
        <f t="shared" si="5"/>
        <v>0.26600985221674878</v>
      </c>
      <c r="P83" s="71">
        <f t="shared" si="5"/>
        <v>0.27586206896551724</v>
      </c>
      <c r="Q83" s="71">
        <f t="shared" si="5"/>
        <v>0.44827586206896552</v>
      </c>
      <c r="R83" s="71">
        <f>1-S83</f>
        <v>9.8522167487684609E-3</v>
      </c>
      <c r="S83" s="71">
        <v>0.99014778325123154</v>
      </c>
      <c r="T83" s="4"/>
      <c r="U83" s="71">
        <f t="shared" si="4"/>
        <v>9.6666666666666665E-2</v>
      </c>
      <c r="V83" s="68"/>
    </row>
    <row r="84" spans="2:22">
      <c r="B84" s="128" t="s">
        <v>62</v>
      </c>
      <c r="C84" s="69">
        <v>243</v>
      </c>
      <c r="D84" s="69">
        <v>136</v>
      </c>
      <c r="E84" s="69">
        <v>74</v>
      </c>
      <c r="F84" s="69">
        <v>10</v>
      </c>
      <c r="G84" s="69">
        <v>23</v>
      </c>
      <c r="H84" s="70">
        <v>95.3</v>
      </c>
      <c r="I84" s="70">
        <v>53.6</v>
      </c>
      <c r="J84" s="70">
        <v>28.9</v>
      </c>
      <c r="K84" s="70">
        <v>3.8</v>
      </c>
      <c r="L84" s="70">
        <v>9.1</v>
      </c>
      <c r="M84" s="31"/>
      <c r="N84" s="74">
        <f t="shared" si="3"/>
        <v>1</v>
      </c>
      <c r="O84" s="71">
        <f t="shared" si="5"/>
        <v>0.55967078189300412</v>
      </c>
      <c r="P84" s="71">
        <f t="shared" si="5"/>
        <v>0.30452674897119342</v>
      </c>
      <c r="Q84" s="71">
        <f t="shared" si="5"/>
        <v>4.1152263374485597E-2</v>
      </c>
      <c r="R84" s="71">
        <f>G84/$C84</f>
        <v>9.4650205761316872E-2</v>
      </c>
      <c r="S84" s="71">
        <v>1</v>
      </c>
      <c r="T84" s="4"/>
      <c r="U84" s="71">
        <f t="shared" si="4"/>
        <v>0.11571428571428571</v>
      </c>
      <c r="V84" s="68"/>
    </row>
    <row r="85" spans="2:22">
      <c r="B85" s="128" t="s">
        <v>63</v>
      </c>
      <c r="C85" s="69">
        <v>204</v>
      </c>
      <c r="D85" s="69">
        <v>103</v>
      </c>
      <c r="E85" s="69">
        <v>71</v>
      </c>
      <c r="F85" s="69">
        <v>9</v>
      </c>
      <c r="G85" s="69">
        <v>21</v>
      </c>
      <c r="H85" s="70">
        <v>113.2</v>
      </c>
      <c r="I85" s="70">
        <v>56.8</v>
      </c>
      <c r="J85" s="70">
        <v>39.4</v>
      </c>
      <c r="K85" s="70">
        <v>5.2</v>
      </c>
      <c r="L85" s="70">
        <v>11.9</v>
      </c>
      <c r="M85" s="31"/>
      <c r="N85" s="74">
        <f t="shared" si="3"/>
        <v>0.99999999999999989</v>
      </c>
      <c r="O85" s="71">
        <f t="shared" si="5"/>
        <v>0.50490196078431371</v>
      </c>
      <c r="P85" s="71">
        <f t="shared" si="5"/>
        <v>0.34803921568627449</v>
      </c>
      <c r="Q85" s="71">
        <f t="shared" si="5"/>
        <v>4.4117647058823532E-2</v>
      </c>
      <c r="R85" s="71">
        <f>G85/$C85</f>
        <v>0.10294117647058823</v>
      </c>
      <c r="S85" s="71">
        <v>0.99999999999999989</v>
      </c>
      <c r="T85" s="4"/>
      <c r="U85" s="71">
        <f t="shared" si="4"/>
        <v>9.7142857142857142E-2</v>
      </c>
      <c r="V85" s="68"/>
    </row>
    <row r="86" spans="2:22">
      <c r="B86" s="128" t="s">
        <v>64</v>
      </c>
      <c r="C86" s="69">
        <v>38</v>
      </c>
      <c r="D86" s="69">
        <v>34</v>
      </c>
      <c r="E86" s="69">
        <v>3</v>
      </c>
      <c r="F86" s="69" t="s">
        <v>46</v>
      </c>
      <c r="G86" s="69" t="s">
        <v>46</v>
      </c>
      <c r="H86" s="70">
        <v>51.8</v>
      </c>
      <c r="I86" s="70">
        <v>45.6</v>
      </c>
      <c r="J86" s="70">
        <v>3.5</v>
      </c>
      <c r="K86" s="70" t="s">
        <v>46</v>
      </c>
      <c r="L86" s="70" t="s">
        <v>46</v>
      </c>
      <c r="M86" s="31"/>
      <c r="N86" s="74">
        <f t="shared" si="3"/>
        <v>1</v>
      </c>
      <c r="O86" s="71">
        <f t="shared" ref="O86:O97" si="6">D86/$C86</f>
        <v>0.89473684210526316</v>
      </c>
      <c r="P86" s="71">
        <f t="shared" ref="P86:P97" si="7">E86/$C86</f>
        <v>7.8947368421052627E-2</v>
      </c>
      <c r="Q86" s="71">
        <v>0.01</v>
      </c>
      <c r="R86" s="71">
        <f t="shared" ref="R86:R98" si="8">1-S86</f>
        <v>1.6315789473684172E-2</v>
      </c>
      <c r="S86" s="71">
        <v>0.98368421052631583</v>
      </c>
      <c r="T86" s="5"/>
      <c r="U86" s="71">
        <f t="shared" si="4"/>
        <v>1.8095238095238095E-2</v>
      </c>
      <c r="V86" s="68"/>
    </row>
    <row r="87" spans="2:22">
      <c r="B87" s="128" t="s">
        <v>65</v>
      </c>
      <c r="C87" s="69">
        <v>215</v>
      </c>
      <c r="D87" s="69">
        <v>64</v>
      </c>
      <c r="E87" s="69">
        <v>124</v>
      </c>
      <c r="F87" s="69">
        <v>14</v>
      </c>
      <c r="G87" s="69" t="s">
        <v>46</v>
      </c>
      <c r="H87" s="70">
        <v>50.4</v>
      </c>
      <c r="I87" s="70">
        <v>15</v>
      </c>
      <c r="J87" s="70">
        <v>29.2</v>
      </c>
      <c r="K87" s="70">
        <v>3.3</v>
      </c>
      <c r="L87" s="70" t="s">
        <v>46</v>
      </c>
      <c r="M87" s="31"/>
      <c r="N87" s="74">
        <f t="shared" si="3"/>
        <v>1</v>
      </c>
      <c r="O87" s="71">
        <f t="shared" si="6"/>
        <v>0.29767441860465116</v>
      </c>
      <c r="P87" s="71">
        <f t="shared" si="7"/>
        <v>0.57674418604651168</v>
      </c>
      <c r="Q87" s="71">
        <f t="shared" ref="Q87:Q92" si="9">F87/$C87</f>
        <v>6.5116279069767441E-2</v>
      </c>
      <c r="R87" s="71">
        <f t="shared" si="8"/>
        <v>6.0465116279069697E-2</v>
      </c>
      <c r="S87" s="71">
        <v>0.9395348837209303</v>
      </c>
      <c r="T87" s="5"/>
      <c r="U87" s="71">
        <f t="shared" si="4"/>
        <v>0.10238095238095238</v>
      </c>
      <c r="V87" s="68"/>
    </row>
    <row r="88" spans="2:22">
      <c r="B88" s="128" t="s">
        <v>66</v>
      </c>
      <c r="C88" s="69">
        <v>264</v>
      </c>
      <c r="D88" s="69">
        <v>188</v>
      </c>
      <c r="E88" s="69">
        <v>19</v>
      </c>
      <c r="F88" s="69">
        <v>24</v>
      </c>
      <c r="G88" s="69">
        <v>33</v>
      </c>
      <c r="H88" s="70">
        <v>33.5</v>
      </c>
      <c r="I88" s="70">
        <v>23.9</v>
      </c>
      <c r="J88" s="70">
        <v>2.4</v>
      </c>
      <c r="K88" s="70">
        <v>3.1</v>
      </c>
      <c r="L88" s="70">
        <v>4.0999999999999996</v>
      </c>
      <c r="M88" s="31"/>
      <c r="N88" s="74">
        <f t="shared" si="3"/>
        <v>1</v>
      </c>
      <c r="O88" s="71">
        <f t="shared" si="6"/>
        <v>0.71212121212121215</v>
      </c>
      <c r="P88" s="71">
        <f t="shared" si="7"/>
        <v>7.1969696969696975E-2</v>
      </c>
      <c r="Q88" s="71">
        <f t="shared" si="9"/>
        <v>9.0909090909090912E-2</v>
      </c>
      <c r="R88" s="71">
        <f t="shared" si="8"/>
        <v>0.12499999999999989</v>
      </c>
      <c r="S88" s="71">
        <v>0.87500000000000011</v>
      </c>
      <c r="T88" s="4"/>
      <c r="U88" s="71">
        <f t="shared" si="4"/>
        <v>0.12571428571428572</v>
      </c>
      <c r="V88" s="68"/>
    </row>
    <row r="89" spans="2:22">
      <c r="B89" s="128" t="s">
        <v>67</v>
      </c>
      <c r="C89" s="69">
        <v>91</v>
      </c>
      <c r="D89" s="69">
        <v>84</v>
      </c>
      <c r="E89" s="69">
        <v>3</v>
      </c>
      <c r="F89" s="69">
        <v>3</v>
      </c>
      <c r="G89" s="69">
        <v>2</v>
      </c>
      <c r="H89" s="70">
        <v>31.9</v>
      </c>
      <c r="I89" s="70">
        <v>29.3</v>
      </c>
      <c r="J89" s="70">
        <v>1</v>
      </c>
      <c r="K89" s="70">
        <v>0.9</v>
      </c>
      <c r="L89" s="70">
        <v>0.7</v>
      </c>
      <c r="M89" s="31"/>
      <c r="N89" s="74">
        <f t="shared" si="3"/>
        <v>1</v>
      </c>
      <c r="O89" s="71">
        <f t="shared" si="6"/>
        <v>0.92307692307692313</v>
      </c>
      <c r="P89" s="71">
        <f t="shared" si="7"/>
        <v>3.2967032967032968E-2</v>
      </c>
      <c r="Q89" s="71">
        <f t="shared" si="9"/>
        <v>3.2967032967032968E-2</v>
      </c>
      <c r="R89" s="71">
        <f t="shared" si="8"/>
        <v>1.098901098901095E-2</v>
      </c>
      <c r="S89" s="71">
        <v>0.98901098901098905</v>
      </c>
      <c r="T89" s="68"/>
      <c r="U89" s="71">
        <f t="shared" si="4"/>
        <v>4.3333333333333335E-2</v>
      </c>
      <c r="V89" s="68"/>
    </row>
    <row r="90" spans="2:22">
      <c r="B90" s="128" t="s">
        <v>68</v>
      </c>
      <c r="C90" s="69">
        <v>172</v>
      </c>
      <c r="D90" s="69">
        <v>104</v>
      </c>
      <c r="E90" s="69">
        <v>16</v>
      </c>
      <c r="F90" s="69">
        <v>22</v>
      </c>
      <c r="G90" s="69">
        <v>31</v>
      </c>
      <c r="H90" s="70">
        <v>34.4</v>
      </c>
      <c r="I90" s="70">
        <v>20.9</v>
      </c>
      <c r="J90" s="70">
        <v>3.1</v>
      </c>
      <c r="K90" s="70">
        <v>4.3</v>
      </c>
      <c r="L90" s="70">
        <v>6.1</v>
      </c>
      <c r="M90" s="31"/>
      <c r="N90" s="74">
        <f t="shared" si="3"/>
        <v>1</v>
      </c>
      <c r="O90" s="71">
        <f t="shared" si="6"/>
        <v>0.60465116279069764</v>
      </c>
      <c r="P90" s="71">
        <f t="shared" si="7"/>
        <v>9.3023255813953487E-2</v>
      </c>
      <c r="Q90" s="71">
        <f t="shared" si="9"/>
        <v>0.12790697674418605</v>
      </c>
      <c r="R90" s="71">
        <f t="shared" si="8"/>
        <v>0.17441860465116288</v>
      </c>
      <c r="S90" s="71">
        <v>0.82558139534883712</v>
      </c>
      <c r="T90" s="68"/>
      <c r="U90" s="71">
        <f t="shared" si="4"/>
        <v>8.1904761904761911E-2</v>
      </c>
      <c r="V90" s="68"/>
    </row>
    <row r="91" spans="2:22">
      <c r="B91" s="128" t="s">
        <v>69</v>
      </c>
      <c r="C91" s="69">
        <v>269</v>
      </c>
      <c r="D91" s="69">
        <v>230</v>
      </c>
      <c r="E91" s="69">
        <v>13</v>
      </c>
      <c r="F91" s="69">
        <v>3</v>
      </c>
      <c r="G91" s="69">
        <v>23</v>
      </c>
      <c r="H91" s="70">
        <v>32.799999999999997</v>
      </c>
      <c r="I91" s="70">
        <v>28.1</v>
      </c>
      <c r="J91" s="70">
        <v>1.6</v>
      </c>
      <c r="K91" s="70">
        <v>0.3</v>
      </c>
      <c r="L91" s="70">
        <v>2.8</v>
      </c>
      <c r="M91" s="31"/>
      <c r="N91" s="74">
        <f t="shared" si="3"/>
        <v>1</v>
      </c>
      <c r="O91" s="71">
        <f t="shared" si="6"/>
        <v>0.85501858736059477</v>
      </c>
      <c r="P91" s="71">
        <f t="shared" si="7"/>
        <v>4.8327137546468404E-2</v>
      </c>
      <c r="Q91" s="71">
        <f t="shared" si="9"/>
        <v>1.1152416356877323E-2</v>
      </c>
      <c r="R91" s="71">
        <f t="shared" si="8"/>
        <v>8.5501858736059422E-2</v>
      </c>
      <c r="S91" s="71">
        <v>0.91449814126394058</v>
      </c>
      <c r="T91" s="68"/>
      <c r="U91" s="71">
        <f t="shared" si="4"/>
        <v>0.1280952380952381</v>
      </c>
      <c r="V91" s="68"/>
    </row>
    <row r="92" spans="2:22">
      <c r="B92" s="128" t="s">
        <v>70</v>
      </c>
      <c r="C92" s="69">
        <v>102</v>
      </c>
      <c r="D92" s="69">
        <v>92</v>
      </c>
      <c r="E92" s="69">
        <v>2</v>
      </c>
      <c r="F92" s="69">
        <v>3</v>
      </c>
      <c r="G92" s="69" t="s">
        <v>46</v>
      </c>
      <c r="H92" s="70">
        <v>37.5</v>
      </c>
      <c r="I92" s="70">
        <v>33.799999999999997</v>
      </c>
      <c r="J92" s="70">
        <v>0.9</v>
      </c>
      <c r="K92" s="70">
        <v>1</v>
      </c>
      <c r="L92" s="70" t="s">
        <v>46</v>
      </c>
      <c r="M92" s="31"/>
      <c r="N92" s="74">
        <f t="shared" si="3"/>
        <v>1</v>
      </c>
      <c r="O92" s="71">
        <f t="shared" si="6"/>
        <v>0.90196078431372551</v>
      </c>
      <c r="P92" s="71">
        <f t="shared" si="7"/>
        <v>1.9607843137254902E-2</v>
      </c>
      <c r="Q92" s="71">
        <f t="shared" si="9"/>
        <v>2.9411764705882353E-2</v>
      </c>
      <c r="R92" s="71">
        <f t="shared" si="8"/>
        <v>4.9019607843137192E-2</v>
      </c>
      <c r="S92" s="71">
        <v>0.95098039215686281</v>
      </c>
      <c r="T92" s="68"/>
      <c r="U92" s="71">
        <f t="shared" si="4"/>
        <v>4.8571428571428571E-2</v>
      </c>
      <c r="V92" s="68"/>
    </row>
    <row r="93" spans="2:22">
      <c r="B93" s="128" t="s">
        <v>71</v>
      </c>
      <c r="C93" s="69">
        <v>29</v>
      </c>
      <c r="D93" s="69">
        <v>15</v>
      </c>
      <c r="E93" s="69">
        <v>10</v>
      </c>
      <c r="F93" s="69" t="s">
        <v>46</v>
      </c>
      <c r="G93" s="69" t="s">
        <v>46</v>
      </c>
      <c r="H93" s="70">
        <v>45</v>
      </c>
      <c r="I93" s="70">
        <v>24.1</v>
      </c>
      <c r="J93" s="70">
        <v>15.1</v>
      </c>
      <c r="K93" s="70" t="s">
        <v>46</v>
      </c>
      <c r="L93" s="70" t="s">
        <v>46</v>
      </c>
      <c r="M93" s="31"/>
      <c r="N93" s="74">
        <f t="shared" si="3"/>
        <v>1</v>
      </c>
      <c r="O93" s="71">
        <f t="shared" si="6"/>
        <v>0.51724137931034486</v>
      </c>
      <c r="P93" s="71">
        <f t="shared" si="7"/>
        <v>0.34482758620689657</v>
      </c>
      <c r="Q93" s="71">
        <v>0.01</v>
      </c>
      <c r="R93" s="71">
        <f t="shared" si="8"/>
        <v>0.12793103448275855</v>
      </c>
      <c r="S93" s="71">
        <v>0.87206896551724145</v>
      </c>
      <c r="T93" s="68"/>
      <c r="U93" s="71">
        <f t="shared" si="4"/>
        <v>1.380952380952381E-2</v>
      </c>
      <c r="V93" s="68"/>
    </row>
    <row r="94" spans="2:22">
      <c r="B94" s="128" t="s">
        <v>72</v>
      </c>
      <c r="C94" s="69">
        <v>82</v>
      </c>
      <c r="D94" s="69">
        <v>77</v>
      </c>
      <c r="E94" s="69">
        <v>2</v>
      </c>
      <c r="F94" s="69">
        <v>3</v>
      </c>
      <c r="G94" s="69" t="s">
        <v>46</v>
      </c>
      <c r="H94" s="70">
        <v>31.2</v>
      </c>
      <c r="I94" s="70">
        <v>29.1</v>
      </c>
      <c r="J94" s="70">
        <v>0.9</v>
      </c>
      <c r="K94" s="70">
        <v>1</v>
      </c>
      <c r="L94" s="70" t="s">
        <v>46</v>
      </c>
      <c r="M94" s="31"/>
      <c r="N94" s="74">
        <f t="shared" si="3"/>
        <v>1</v>
      </c>
      <c r="O94" s="71">
        <f t="shared" si="6"/>
        <v>0.93902439024390238</v>
      </c>
      <c r="P94" s="71">
        <f t="shared" si="7"/>
        <v>2.4390243902439025E-2</v>
      </c>
      <c r="Q94" s="71">
        <f>F94/$C94</f>
        <v>3.6585365853658534E-2</v>
      </c>
      <c r="R94" s="71">
        <f t="shared" si="8"/>
        <v>0</v>
      </c>
      <c r="S94" s="71">
        <v>1</v>
      </c>
      <c r="T94" s="68"/>
      <c r="U94" s="71">
        <f t="shared" si="4"/>
        <v>3.9047619047619046E-2</v>
      </c>
      <c r="V94" s="68"/>
    </row>
    <row r="95" spans="2:22">
      <c r="B95" s="128" t="s">
        <v>74</v>
      </c>
      <c r="C95" s="69">
        <v>139</v>
      </c>
      <c r="D95" s="69">
        <v>119</v>
      </c>
      <c r="E95" s="69">
        <v>2</v>
      </c>
      <c r="F95" s="69" t="s">
        <v>46</v>
      </c>
      <c r="G95" s="69">
        <v>17</v>
      </c>
      <c r="H95" s="70">
        <v>55.8</v>
      </c>
      <c r="I95" s="70">
        <v>47.8</v>
      </c>
      <c r="J95" s="70">
        <v>0.9</v>
      </c>
      <c r="K95" s="70" t="s">
        <v>46</v>
      </c>
      <c r="L95" s="70" t="s">
        <v>46</v>
      </c>
      <c r="M95" s="31"/>
      <c r="N95" s="74">
        <f t="shared" si="3"/>
        <v>1</v>
      </c>
      <c r="O95" s="71">
        <f t="shared" si="6"/>
        <v>0.85611510791366907</v>
      </c>
      <c r="P95" s="71">
        <f t="shared" si="7"/>
        <v>1.4388489208633094E-2</v>
      </c>
      <c r="Q95" s="71">
        <v>0.01</v>
      </c>
      <c r="R95" s="71">
        <f t="shared" si="8"/>
        <v>0.1194964028776978</v>
      </c>
      <c r="S95" s="71">
        <v>0.8805035971223022</v>
      </c>
      <c r="T95" s="68"/>
      <c r="U95" s="71">
        <f t="shared" si="4"/>
        <v>6.6190476190476188E-2</v>
      </c>
      <c r="V95" s="68"/>
    </row>
    <row r="96" spans="2:22">
      <c r="B96" s="128" t="s">
        <v>75</v>
      </c>
      <c r="C96" s="69">
        <v>132</v>
      </c>
      <c r="D96" s="69">
        <v>111</v>
      </c>
      <c r="E96" s="69">
        <v>4</v>
      </c>
      <c r="F96" s="69" t="s">
        <v>46</v>
      </c>
      <c r="G96" s="69" t="s">
        <v>46</v>
      </c>
      <c r="H96" s="70">
        <v>24.1</v>
      </c>
      <c r="I96" s="70">
        <v>20.2</v>
      </c>
      <c r="J96" s="70">
        <v>0.7</v>
      </c>
      <c r="K96" s="70" t="s">
        <v>46</v>
      </c>
      <c r="L96" s="70" t="s">
        <v>46</v>
      </c>
      <c r="M96" s="31"/>
      <c r="N96" s="74">
        <f t="shared" si="3"/>
        <v>1</v>
      </c>
      <c r="O96" s="71">
        <f t="shared" si="6"/>
        <v>0.84090909090909094</v>
      </c>
      <c r="P96" s="71">
        <f t="shared" si="7"/>
        <v>3.0303030303030304E-2</v>
      </c>
      <c r="Q96" s="71">
        <v>0</v>
      </c>
      <c r="R96" s="71">
        <f t="shared" si="8"/>
        <v>0.12878787878787878</v>
      </c>
      <c r="S96" s="71">
        <v>0.87121212121212122</v>
      </c>
      <c r="T96" s="68"/>
      <c r="U96" s="71">
        <f t="shared" si="4"/>
        <v>6.2857142857142861E-2</v>
      </c>
      <c r="V96" s="68"/>
    </row>
    <row r="97" spans="2:22">
      <c r="B97" s="128" t="s">
        <v>76</v>
      </c>
      <c r="C97" s="69">
        <v>87</v>
      </c>
      <c r="D97" s="69">
        <v>72</v>
      </c>
      <c r="E97" s="69">
        <v>2</v>
      </c>
      <c r="F97" s="69" t="s">
        <v>46</v>
      </c>
      <c r="G97" s="69">
        <v>12</v>
      </c>
      <c r="H97" s="70">
        <v>69.7</v>
      </c>
      <c r="I97" s="70">
        <v>57.9</v>
      </c>
      <c r="J97" s="70">
        <v>1.7</v>
      </c>
      <c r="K97" s="70" t="s">
        <v>46</v>
      </c>
      <c r="L97" s="70">
        <v>9.4</v>
      </c>
      <c r="M97" s="31"/>
      <c r="N97" s="74">
        <f t="shared" si="3"/>
        <v>1</v>
      </c>
      <c r="O97" s="71">
        <f t="shared" si="6"/>
        <v>0.82758620689655171</v>
      </c>
      <c r="P97" s="71">
        <f t="shared" si="7"/>
        <v>2.2988505747126436E-2</v>
      </c>
      <c r="Q97" s="71">
        <v>0.01</v>
      </c>
      <c r="R97" s="71">
        <f t="shared" si="8"/>
        <v>0.13942528735632187</v>
      </c>
      <c r="S97" s="71">
        <v>0.86057471264367813</v>
      </c>
      <c r="T97" s="68"/>
      <c r="U97" s="71">
        <f t="shared" si="4"/>
        <v>4.1428571428571426E-2</v>
      </c>
      <c r="V97" s="68"/>
    </row>
    <row r="98" spans="2:22">
      <c r="B98" s="128" t="s">
        <v>77</v>
      </c>
      <c r="C98" s="69">
        <v>28</v>
      </c>
      <c r="D98" s="69">
        <v>26</v>
      </c>
      <c r="E98" s="69" t="s">
        <v>46</v>
      </c>
      <c r="F98" s="69" t="s">
        <v>46</v>
      </c>
      <c r="G98" s="69" t="s">
        <v>46</v>
      </c>
      <c r="H98" s="70">
        <v>23.7</v>
      </c>
      <c r="I98" s="70">
        <v>22</v>
      </c>
      <c r="J98" s="70" t="s">
        <v>46</v>
      </c>
      <c r="K98" s="70" t="s">
        <v>46</v>
      </c>
      <c r="L98" s="70" t="s">
        <v>46</v>
      </c>
      <c r="M98" s="31"/>
      <c r="N98" s="74">
        <f t="shared" si="3"/>
        <v>1</v>
      </c>
      <c r="O98" s="71">
        <f>D98/$C98</f>
        <v>0.9285714285714286</v>
      </c>
      <c r="P98" s="71">
        <v>7.0000000000000007E-2</v>
      </c>
      <c r="Q98" s="71">
        <v>0</v>
      </c>
      <c r="R98" s="71">
        <f t="shared" si="8"/>
        <v>1.4285714285713347E-3</v>
      </c>
      <c r="S98" s="71">
        <v>0.99857142857142867</v>
      </c>
      <c r="T98" s="68"/>
      <c r="U98" s="71">
        <f t="shared" si="4"/>
        <v>1.3333333333333334E-2</v>
      </c>
      <c r="V98" s="68"/>
    </row>
    <row r="99" spans="2:22" s="4" customFormat="1">
      <c r="B99" s="124"/>
      <c r="C99" s="69"/>
      <c r="D99" s="69"/>
      <c r="E99" s="69"/>
      <c r="F99" s="69"/>
      <c r="G99" s="69"/>
      <c r="H99" s="70"/>
      <c r="I99" s="70"/>
      <c r="J99" s="70"/>
      <c r="K99" s="70"/>
      <c r="L99" s="70"/>
      <c r="M99" s="72"/>
      <c r="N99" s="72"/>
      <c r="O99" s="72"/>
      <c r="P99" s="72"/>
      <c r="Q99" s="72"/>
      <c r="R99" s="73"/>
      <c r="S99" s="73"/>
      <c r="T99" s="73"/>
      <c r="U99" s="73"/>
    </row>
    <row r="100" spans="2:22">
      <c r="B100" s="38"/>
      <c r="C100" s="36"/>
      <c r="D100" s="36"/>
      <c r="E100" s="36"/>
      <c r="F100" s="36"/>
      <c r="G100" s="36"/>
      <c r="H100" s="39"/>
      <c r="I100" s="39"/>
      <c r="J100" s="39"/>
      <c r="K100" s="39"/>
      <c r="L100" s="39"/>
      <c r="M100" s="36"/>
      <c r="N100" s="36"/>
      <c r="O100" s="36"/>
      <c r="P100" s="36"/>
      <c r="Q100" s="36"/>
      <c r="R100" s="39"/>
      <c r="S100" s="39"/>
      <c r="T100" s="39"/>
      <c r="U100" s="39"/>
    </row>
    <row r="101" spans="2:22" ht="30" customHeight="1">
      <c r="B101" s="126"/>
      <c r="C101" s="532" t="s">
        <v>96</v>
      </c>
      <c r="D101" s="533"/>
      <c r="E101" s="533"/>
      <c r="F101" s="533"/>
      <c r="G101" s="533"/>
      <c r="H101" s="70"/>
      <c r="I101" s="70"/>
      <c r="J101" s="70"/>
      <c r="K101" s="70"/>
      <c r="L101" s="70"/>
      <c r="M101" s="36"/>
      <c r="N101" s="532" t="s">
        <v>96</v>
      </c>
      <c r="O101" s="533"/>
      <c r="P101" s="533"/>
      <c r="Q101" s="533"/>
      <c r="R101" s="533"/>
      <c r="S101" s="39"/>
      <c r="T101" s="39"/>
      <c r="U101" s="39"/>
    </row>
    <row r="102" spans="2:22" ht="23.25">
      <c r="B102" s="126"/>
      <c r="C102" s="111" t="s">
        <v>94</v>
      </c>
      <c r="D102" s="111" t="s">
        <v>19</v>
      </c>
      <c r="E102" s="111" t="s">
        <v>17</v>
      </c>
      <c r="F102" s="111" t="s">
        <v>57</v>
      </c>
      <c r="G102" s="111" t="s">
        <v>2</v>
      </c>
      <c r="H102" s="70"/>
      <c r="I102" s="70"/>
      <c r="J102" s="70"/>
      <c r="K102" s="70"/>
      <c r="L102" s="70"/>
      <c r="M102" s="36"/>
      <c r="N102" s="111" t="s">
        <v>94</v>
      </c>
      <c r="O102" s="111" t="s">
        <v>19</v>
      </c>
      <c r="P102" s="111" t="s">
        <v>17</v>
      </c>
      <c r="Q102" s="111" t="s">
        <v>57</v>
      </c>
      <c r="R102" s="111" t="s">
        <v>2</v>
      </c>
      <c r="S102" s="39"/>
      <c r="T102" s="39"/>
      <c r="U102" s="39"/>
    </row>
    <row r="103" spans="2:22">
      <c r="B103" s="125" t="s">
        <v>78</v>
      </c>
      <c r="C103" s="69"/>
      <c r="D103" s="69"/>
      <c r="E103" s="69"/>
      <c r="F103" s="69"/>
      <c r="G103" s="69"/>
      <c r="H103" s="70"/>
      <c r="I103" s="70"/>
      <c r="J103" s="70"/>
      <c r="K103" s="70"/>
      <c r="L103" s="70"/>
      <c r="M103" s="31"/>
      <c r="N103" s="69"/>
      <c r="O103" s="69"/>
      <c r="P103" s="69"/>
      <c r="Q103" s="69"/>
      <c r="R103" s="70"/>
      <c r="S103" s="32"/>
      <c r="T103" s="32"/>
      <c r="U103" s="32"/>
    </row>
    <row r="104" spans="2:22">
      <c r="B104" s="126" t="s">
        <v>79</v>
      </c>
      <c r="C104" s="69">
        <v>462</v>
      </c>
      <c r="D104" s="69">
        <v>332</v>
      </c>
      <c r="E104" s="69">
        <v>51</v>
      </c>
      <c r="F104" s="69">
        <v>34</v>
      </c>
      <c r="G104" s="69">
        <v>45</v>
      </c>
      <c r="H104" s="70">
        <v>45.5</v>
      </c>
      <c r="I104" s="70">
        <v>32.700000000000003</v>
      </c>
      <c r="J104" s="70">
        <v>5.0999999999999996</v>
      </c>
      <c r="K104" s="70">
        <v>3.3</v>
      </c>
      <c r="L104" s="70">
        <v>4.4000000000000004</v>
      </c>
      <c r="M104" s="31"/>
      <c r="N104" s="69"/>
      <c r="O104" s="69"/>
      <c r="P104" s="69"/>
      <c r="Q104" s="69"/>
      <c r="R104" s="70"/>
      <c r="S104" s="32"/>
      <c r="T104" s="32"/>
      <c r="U104" s="32"/>
    </row>
    <row r="105" spans="2:22">
      <c r="B105" s="126" t="s">
        <v>80</v>
      </c>
      <c r="C105" s="69">
        <v>87</v>
      </c>
      <c r="D105" s="69">
        <v>69</v>
      </c>
      <c r="E105" s="69" t="s">
        <v>46</v>
      </c>
      <c r="F105" s="69" t="s">
        <v>46</v>
      </c>
      <c r="G105" s="69">
        <v>5</v>
      </c>
      <c r="H105" s="70">
        <v>46.8</v>
      </c>
      <c r="I105" s="70">
        <v>36.9</v>
      </c>
      <c r="J105" s="70">
        <v>4.3</v>
      </c>
      <c r="K105" s="70">
        <v>2.8</v>
      </c>
      <c r="L105" s="70">
        <v>2.9</v>
      </c>
      <c r="M105" s="31"/>
      <c r="N105" s="69">
        <f>SUM(O105:R105)</f>
        <v>1.0005747126436781</v>
      </c>
      <c r="O105" s="71">
        <f>D105/$C$105</f>
        <v>0.7931034482758621</v>
      </c>
      <c r="P105" s="71">
        <v>0.1</v>
      </c>
      <c r="Q105" s="71">
        <v>0.05</v>
      </c>
      <c r="R105" s="71">
        <f>G105/$C$105</f>
        <v>5.7471264367816091E-2</v>
      </c>
      <c r="S105" s="32"/>
      <c r="T105" s="32"/>
      <c r="U105" s="32"/>
    </row>
    <row r="106" spans="2:22">
      <c r="B106" s="126" t="s">
        <v>81</v>
      </c>
      <c r="C106" s="69">
        <v>375</v>
      </c>
      <c r="D106" s="69">
        <v>263</v>
      </c>
      <c r="E106" s="69">
        <v>44</v>
      </c>
      <c r="F106" s="69">
        <v>29</v>
      </c>
      <c r="G106" s="69">
        <v>39</v>
      </c>
      <c r="H106" s="70">
        <v>45.2</v>
      </c>
      <c r="I106" s="70">
        <v>31.7</v>
      </c>
      <c r="J106" s="70">
        <v>5.2</v>
      </c>
      <c r="K106" s="70">
        <v>3.5</v>
      </c>
      <c r="L106" s="70">
        <v>4.7</v>
      </c>
      <c r="M106" s="31"/>
      <c r="N106" s="31"/>
      <c r="O106" s="31"/>
      <c r="P106" s="31"/>
      <c r="Q106" s="31"/>
      <c r="R106" s="32"/>
      <c r="S106" s="32"/>
      <c r="T106" s="32"/>
      <c r="U106" s="32"/>
    </row>
    <row r="107" spans="2:22">
      <c r="B107" s="126" t="s">
        <v>82</v>
      </c>
      <c r="C107" s="69">
        <v>751</v>
      </c>
      <c r="D107" s="69">
        <v>589</v>
      </c>
      <c r="E107" s="69">
        <v>82</v>
      </c>
      <c r="F107" s="69">
        <v>32</v>
      </c>
      <c r="G107" s="69">
        <v>47</v>
      </c>
      <c r="H107" s="70">
        <v>53.1</v>
      </c>
      <c r="I107" s="70">
        <v>41.7</v>
      </c>
      <c r="J107" s="70">
        <v>5.8</v>
      </c>
      <c r="K107" s="70">
        <v>2.2999999999999998</v>
      </c>
      <c r="L107" s="70">
        <v>3.3</v>
      </c>
      <c r="M107" s="31"/>
      <c r="N107" s="31"/>
      <c r="O107" s="31"/>
      <c r="P107" s="31"/>
      <c r="Q107" s="31"/>
      <c r="R107" s="32"/>
      <c r="S107" s="32"/>
      <c r="T107" s="32"/>
      <c r="U107" s="32"/>
    </row>
    <row r="108" spans="2:22">
      <c r="B108" s="126" t="s">
        <v>83</v>
      </c>
      <c r="C108" s="69">
        <v>567</v>
      </c>
      <c r="D108" s="69">
        <v>452</v>
      </c>
      <c r="E108" s="69">
        <v>62</v>
      </c>
      <c r="F108" s="69">
        <v>23</v>
      </c>
      <c r="G108" s="69">
        <v>30</v>
      </c>
      <c r="H108" s="70">
        <v>54.8</v>
      </c>
      <c r="I108" s="70">
        <v>43.7</v>
      </c>
      <c r="J108" s="70">
        <v>6</v>
      </c>
      <c r="K108" s="70">
        <v>2.2000000000000002</v>
      </c>
      <c r="L108" s="70">
        <v>2.9</v>
      </c>
      <c r="M108" s="31"/>
      <c r="N108" s="31"/>
      <c r="O108" s="31"/>
      <c r="P108" s="31"/>
      <c r="Q108" s="31"/>
      <c r="R108" s="32"/>
      <c r="S108" s="32"/>
      <c r="T108" s="32"/>
      <c r="U108" s="32"/>
    </row>
    <row r="109" spans="2:22">
      <c r="B109" s="126" t="s">
        <v>84</v>
      </c>
      <c r="C109" s="69">
        <v>184</v>
      </c>
      <c r="D109" s="69">
        <v>137</v>
      </c>
      <c r="E109" s="69">
        <v>20</v>
      </c>
      <c r="F109" s="69">
        <v>9</v>
      </c>
      <c r="G109" s="69" t="s">
        <v>46</v>
      </c>
      <c r="H109" s="70">
        <v>48.5</v>
      </c>
      <c r="I109" s="70">
        <v>36.200000000000003</v>
      </c>
      <c r="J109" s="70">
        <v>5.4</v>
      </c>
      <c r="K109" s="70">
        <v>2.4</v>
      </c>
      <c r="L109" s="70">
        <v>4.5</v>
      </c>
      <c r="M109" s="31"/>
      <c r="N109" s="31"/>
      <c r="O109" s="31"/>
      <c r="P109" s="31"/>
      <c r="Q109" s="31"/>
      <c r="R109" s="32"/>
      <c r="S109" s="32"/>
      <c r="T109" s="32"/>
      <c r="U109" s="32"/>
    </row>
    <row r="110" spans="2:22">
      <c r="B110" s="126" t="s">
        <v>85</v>
      </c>
      <c r="C110" s="69">
        <v>527</v>
      </c>
      <c r="D110" s="69">
        <v>291</v>
      </c>
      <c r="E110" s="69">
        <v>129</v>
      </c>
      <c r="F110" s="69">
        <v>68</v>
      </c>
      <c r="G110" s="69">
        <v>38</v>
      </c>
      <c r="H110" s="70">
        <v>34.5</v>
      </c>
      <c r="I110" s="70">
        <v>19.100000000000001</v>
      </c>
      <c r="J110" s="70">
        <v>8.4</v>
      </c>
      <c r="K110" s="70">
        <v>4.5</v>
      </c>
      <c r="L110" s="70">
        <v>2.5</v>
      </c>
      <c r="M110" s="31"/>
      <c r="N110" s="31"/>
      <c r="O110" s="31"/>
      <c r="P110" s="31"/>
      <c r="Q110" s="31"/>
      <c r="R110" s="32"/>
      <c r="S110" s="32"/>
      <c r="T110" s="32"/>
      <c r="U110" s="32"/>
    </row>
    <row r="111" spans="2:22">
      <c r="B111" s="126" t="s">
        <v>86</v>
      </c>
      <c r="C111" s="69">
        <v>246</v>
      </c>
      <c r="D111" s="69">
        <v>132</v>
      </c>
      <c r="E111" s="69">
        <v>60</v>
      </c>
      <c r="F111" s="69">
        <v>32</v>
      </c>
      <c r="G111" s="69">
        <v>22</v>
      </c>
      <c r="H111" s="70">
        <v>33.700000000000003</v>
      </c>
      <c r="I111" s="70">
        <v>18.100000000000001</v>
      </c>
      <c r="J111" s="70">
        <v>8.1999999999999993</v>
      </c>
      <c r="K111" s="70">
        <v>4.4000000000000004</v>
      </c>
      <c r="L111" s="70">
        <v>3</v>
      </c>
      <c r="M111" s="31"/>
      <c r="N111" s="31"/>
      <c r="O111" s="31"/>
      <c r="P111" s="31"/>
      <c r="Q111" s="31"/>
      <c r="R111" s="32"/>
      <c r="S111" s="32"/>
      <c r="T111" s="32"/>
      <c r="U111" s="32"/>
    </row>
    <row r="112" spans="2:22">
      <c r="B112" s="126" t="s">
        <v>87</v>
      </c>
      <c r="C112" s="69">
        <v>107</v>
      </c>
      <c r="D112" s="69">
        <v>69</v>
      </c>
      <c r="E112" s="69">
        <v>25</v>
      </c>
      <c r="F112" s="69">
        <v>8</v>
      </c>
      <c r="G112" s="69">
        <v>5</v>
      </c>
      <c r="H112" s="70">
        <v>42.6</v>
      </c>
      <c r="I112" s="70">
        <v>27.4</v>
      </c>
      <c r="J112" s="70">
        <v>10</v>
      </c>
      <c r="K112" s="70">
        <v>3.3</v>
      </c>
      <c r="L112" s="70">
        <v>1.8</v>
      </c>
      <c r="M112" s="31"/>
      <c r="N112" s="31"/>
      <c r="O112" s="31"/>
      <c r="P112" s="31"/>
      <c r="Q112" s="31"/>
      <c r="R112" s="32"/>
      <c r="S112" s="32"/>
      <c r="T112" s="32"/>
      <c r="U112" s="32"/>
    </row>
    <row r="113" spans="1:21">
      <c r="B113" s="126" t="s">
        <v>88</v>
      </c>
      <c r="C113" s="69">
        <v>174</v>
      </c>
      <c r="D113" s="69">
        <v>90</v>
      </c>
      <c r="E113" s="69">
        <v>44</v>
      </c>
      <c r="F113" s="69">
        <v>28</v>
      </c>
      <c r="G113" s="69">
        <v>12</v>
      </c>
      <c r="H113" s="70">
        <v>31.8</v>
      </c>
      <c r="I113" s="70">
        <v>16.5</v>
      </c>
      <c r="J113" s="70">
        <v>8</v>
      </c>
      <c r="K113" s="70">
        <v>5.0999999999999996</v>
      </c>
      <c r="L113" s="70">
        <v>2.2000000000000002</v>
      </c>
      <c r="M113" s="31"/>
      <c r="N113" s="31"/>
      <c r="O113" s="31"/>
      <c r="P113" s="31"/>
      <c r="Q113" s="31"/>
      <c r="R113" s="32"/>
      <c r="S113" s="32"/>
      <c r="T113" s="32"/>
      <c r="U113" s="32"/>
    </row>
    <row r="114" spans="1:21">
      <c r="B114" s="126" t="s">
        <v>89</v>
      </c>
      <c r="C114" s="69">
        <v>360</v>
      </c>
      <c r="D114" s="69">
        <v>208</v>
      </c>
      <c r="E114" s="69">
        <v>85</v>
      </c>
      <c r="F114" s="69">
        <v>29</v>
      </c>
      <c r="G114" s="69">
        <v>38</v>
      </c>
      <c r="H114" s="70">
        <v>40.5</v>
      </c>
      <c r="I114" s="70">
        <v>23.4</v>
      </c>
      <c r="J114" s="70">
        <v>9.6</v>
      </c>
      <c r="K114" s="70">
        <v>3.3</v>
      </c>
      <c r="L114" s="70">
        <v>4.3</v>
      </c>
      <c r="M114" s="31"/>
      <c r="N114" s="31"/>
      <c r="O114" s="31"/>
      <c r="P114" s="31"/>
      <c r="Q114" s="31"/>
      <c r="R114" s="32"/>
      <c r="S114" s="32"/>
      <c r="T114" s="32"/>
      <c r="U114" s="32"/>
    </row>
    <row r="115" spans="1:21">
      <c r="B115" s="126" t="s">
        <v>90</v>
      </c>
      <c r="C115" s="69">
        <v>190</v>
      </c>
      <c r="D115" s="69">
        <v>132</v>
      </c>
      <c r="E115" s="69">
        <v>35</v>
      </c>
      <c r="F115" s="69">
        <v>6</v>
      </c>
      <c r="G115" s="69">
        <v>17</v>
      </c>
      <c r="H115" s="70">
        <v>58.4</v>
      </c>
      <c r="I115" s="70">
        <v>40.5</v>
      </c>
      <c r="J115" s="70">
        <v>10.8</v>
      </c>
      <c r="K115" s="70">
        <v>2</v>
      </c>
      <c r="L115" s="70">
        <v>5.0999999999999996</v>
      </c>
      <c r="M115" s="31"/>
      <c r="N115" s="31"/>
      <c r="O115" s="31"/>
      <c r="P115" s="31"/>
      <c r="Q115" s="31"/>
      <c r="R115" s="32"/>
      <c r="S115" s="32"/>
      <c r="T115" s="32"/>
      <c r="U115" s="32"/>
    </row>
    <row r="116" spans="1:21">
      <c r="B116" s="126" t="s">
        <v>91</v>
      </c>
      <c r="C116" s="69">
        <v>170</v>
      </c>
      <c r="D116" s="69">
        <v>76</v>
      </c>
      <c r="E116" s="69">
        <v>50</v>
      </c>
      <c r="F116" s="69">
        <v>23</v>
      </c>
      <c r="G116" s="69">
        <v>21</v>
      </c>
      <c r="H116" s="70">
        <v>30.1</v>
      </c>
      <c r="I116" s="70">
        <v>13.5</v>
      </c>
      <c r="J116" s="70">
        <v>8.9</v>
      </c>
      <c r="K116" s="70">
        <v>4</v>
      </c>
      <c r="L116" s="70">
        <v>3.8</v>
      </c>
      <c r="M116" s="31"/>
      <c r="N116" s="31"/>
      <c r="O116" s="31"/>
      <c r="P116" s="31"/>
      <c r="Q116" s="31"/>
      <c r="R116" s="32"/>
      <c r="S116" s="32"/>
      <c r="T116" s="32"/>
      <c r="U116" s="32"/>
    </row>
    <row r="117" spans="1:21">
      <c r="B117" s="30"/>
      <c r="C117" s="31"/>
      <c r="D117" s="31"/>
      <c r="E117" s="31"/>
      <c r="F117" s="31"/>
      <c r="G117" s="31"/>
      <c r="H117" s="32"/>
      <c r="I117" s="32"/>
      <c r="J117" s="32"/>
      <c r="K117" s="32"/>
      <c r="L117" s="32"/>
      <c r="M117" s="31"/>
      <c r="N117" s="31"/>
      <c r="O117" s="31"/>
      <c r="P117" s="31"/>
      <c r="Q117" s="31"/>
      <c r="R117" s="32"/>
      <c r="S117" s="32"/>
      <c r="T117" s="32"/>
      <c r="U117" s="32"/>
    </row>
    <row r="118" spans="1:21">
      <c r="B118" s="547" t="s">
        <v>92</v>
      </c>
      <c r="C118" s="539"/>
      <c r="D118" s="539"/>
      <c r="E118" s="539"/>
      <c r="F118" s="539"/>
      <c r="G118" s="539"/>
      <c r="H118" s="539"/>
      <c r="I118" s="539"/>
      <c r="J118" s="539"/>
      <c r="K118" s="539"/>
      <c r="L118" s="539"/>
      <c r="M118" s="29"/>
      <c r="N118" s="29"/>
      <c r="O118" s="29"/>
      <c r="P118" s="29"/>
      <c r="Q118" s="29"/>
      <c r="R118" s="29"/>
      <c r="S118" s="29"/>
      <c r="T118" s="29"/>
      <c r="U118" s="29"/>
    </row>
    <row r="119" spans="1:21">
      <c r="B119" s="534" t="s">
        <v>93</v>
      </c>
      <c r="C119" s="535"/>
      <c r="D119" s="535"/>
      <c r="E119" s="535"/>
      <c r="F119" s="535"/>
      <c r="G119" s="535"/>
      <c r="H119" s="535"/>
      <c r="I119" s="535"/>
      <c r="J119" s="535"/>
      <c r="K119" s="535"/>
      <c r="L119" s="535"/>
      <c r="M119" s="29"/>
      <c r="N119" s="29"/>
      <c r="O119" s="29"/>
      <c r="P119" s="29"/>
      <c r="Q119" s="29"/>
      <c r="R119" s="29"/>
      <c r="S119" s="29"/>
      <c r="T119" s="29"/>
      <c r="U119" s="29"/>
    </row>
    <row r="120" spans="1:21" s="20" customFormat="1" ht="12.75">
      <c r="B120" s="20" t="s">
        <v>170</v>
      </c>
      <c r="C120" s="25"/>
      <c r="H120" s="118"/>
      <c r="I120" s="118"/>
      <c r="J120" s="118"/>
    </row>
    <row r="121" spans="1:21" ht="18.75">
      <c r="A121" s="159" t="s">
        <v>163</v>
      </c>
    </row>
    <row r="122" spans="1:21">
      <c r="B122" s="33" t="s">
        <v>56</v>
      </c>
      <c r="C122" s="33"/>
      <c r="D122" s="33"/>
      <c r="E122" s="33"/>
      <c r="F122" s="33"/>
      <c r="G122" s="33"/>
      <c r="H122" s="33"/>
      <c r="I122" s="33"/>
      <c r="J122" s="33"/>
    </row>
    <row r="123" spans="1:21" ht="15.75">
      <c r="B123" s="540" t="s">
        <v>97</v>
      </c>
      <c r="C123" s="541"/>
      <c r="D123" s="541"/>
      <c r="E123" s="541"/>
      <c r="F123" s="541"/>
      <c r="G123" s="541"/>
      <c r="H123" s="33"/>
      <c r="I123" s="33"/>
      <c r="J123" s="33"/>
    </row>
    <row r="124" spans="1:21" ht="15" customHeight="1">
      <c r="B124" s="542"/>
      <c r="C124" s="544" t="s">
        <v>98</v>
      </c>
      <c r="D124" s="545"/>
      <c r="E124" s="545"/>
      <c r="F124" s="545"/>
      <c r="G124" s="546"/>
      <c r="H124" s="33"/>
      <c r="I124" s="160" t="s">
        <v>159</v>
      </c>
      <c r="J124" s="33"/>
    </row>
    <row r="125" spans="1:21" ht="23.25">
      <c r="B125" s="543"/>
      <c r="C125" s="35" t="s">
        <v>94</v>
      </c>
      <c r="D125" s="35" t="s">
        <v>19</v>
      </c>
      <c r="E125" s="35" t="s">
        <v>17</v>
      </c>
      <c r="F125" s="35" t="s">
        <v>57</v>
      </c>
      <c r="G125" s="34" t="s">
        <v>2</v>
      </c>
      <c r="H125" s="33"/>
      <c r="I125" s="135" t="s">
        <v>94</v>
      </c>
      <c r="J125" s="135" t="s">
        <v>19</v>
      </c>
      <c r="K125" s="135" t="s">
        <v>17</v>
      </c>
      <c r="L125" s="135" t="s">
        <v>57</v>
      </c>
      <c r="M125" s="136" t="s">
        <v>2</v>
      </c>
    </row>
    <row r="126" spans="1:21">
      <c r="B126" s="37" t="s">
        <v>78</v>
      </c>
      <c r="C126" s="36"/>
      <c r="D126" s="36"/>
      <c r="E126" s="36"/>
      <c r="F126" s="36"/>
      <c r="G126" s="36"/>
      <c r="H126" s="36"/>
      <c r="I126" s="70"/>
      <c r="J126" s="70"/>
      <c r="K126" s="92"/>
      <c r="L126" s="92"/>
      <c r="M126" s="92"/>
    </row>
    <row r="127" spans="1:21">
      <c r="B127" s="38" t="s">
        <v>79</v>
      </c>
      <c r="C127" s="36">
        <v>1302</v>
      </c>
      <c r="D127" s="36">
        <v>1153</v>
      </c>
      <c r="E127" s="36">
        <v>111</v>
      </c>
      <c r="F127" s="36" t="s">
        <v>46</v>
      </c>
      <c r="G127" s="36">
        <v>30</v>
      </c>
      <c r="H127" s="36"/>
      <c r="I127" s="70"/>
      <c r="J127" s="70"/>
      <c r="K127" s="92"/>
      <c r="L127" s="92"/>
      <c r="M127" s="92"/>
    </row>
    <row r="128" spans="1:21">
      <c r="B128" s="38" t="s">
        <v>80</v>
      </c>
      <c r="C128" s="36">
        <v>531</v>
      </c>
      <c r="D128" s="36">
        <v>490</v>
      </c>
      <c r="E128" s="36">
        <v>35</v>
      </c>
      <c r="F128" s="36">
        <v>1</v>
      </c>
      <c r="G128" s="36">
        <v>4</v>
      </c>
      <c r="H128" s="36"/>
      <c r="I128" s="70">
        <f>D128/$C$128</f>
        <v>0.92278719397363462</v>
      </c>
      <c r="J128" s="70">
        <f>E128/$C$128</f>
        <v>6.5913370998116755E-2</v>
      </c>
      <c r="K128" s="70">
        <f>F128/$C$128</f>
        <v>1.8832391713747645E-3</v>
      </c>
      <c r="L128" s="70">
        <f>G128/$C$128</f>
        <v>7.5329566854990581E-3</v>
      </c>
      <c r="M128" s="70">
        <f>H128/$C$128</f>
        <v>0</v>
      </c>
    </row>
    <row r="129" spans="2:13">
      <c r="B129" s="38" t="s">
        <v>81</v>
      </c>
      <c r="C129" s="36">
        <v>771</v>
      </c>
      <c r="D129" s="36">
        <v>663</v>
      </c>
      <c r="E129" s="36" t="s">
        <v>46</v>
      </c>
      <c r="F129" s="36" t="s">
        <v>46</v>
      </c>
      <c r="G129" s="36">
        <v>26</v>
      </c>
      <c r="H129" s="36"/>
      <c r="I129" s="70"/>
      <c r="J129" s="70"/>
      <c r="K129" s="92"/>
      <c r="L129" s="92"/>
      <c r="M129" s="92"/>
    </row>
    <row r="130" spans="2:13">
      <c r="B130" s="38" t="s">
        <v>82</v>
      </c>
      <c r="C130" s="36">
        <v>172</v>
      </c>
      <c r="D130" s="36" t="s">
        <v>46</v>
      </c>
      <c r="E130" s="36">
        <v>4</v>
      </c>
      <c r="F130" s="36" t="s">
        <v>46</v>
      </c>
      <c r="G130" s="36">
        <v>10</v>
      </c>
      <c r="H130" s="36"/>
      <c r="I130" s="70"/>
      <c r="J130" s="70"/>
      <c r="K130" s="92"/>
      <c r="L130" s="92"/>
      <c r="M130" s="92"/>
    </row>
    <row r="131" spans="2:13">
      <c r="B131" s="38" t="s">
        <v>83</v>
      </c>
      <c r="C131" s="36" t="s">
        <v>46</v>
      </c>
      <c r="D131" s="36" t="s">
        <v>46</v>
      </c>
      <c r="E131" s="36" t="s">
        <v>46</v>
      </c>
      <c r="F131" s="36" t="s">
        <v>46</v>
      </c>
      <c r="G131" s="36" t="s">
        <v>46</v>
      </c>
      <c r="H131" s="36"/>
      <c r="I131" s="70"/>
      <c r="J131" s="70"/>
      <c r="K131" s="92"/>
      <c r="L131" s="92"/>
      <c r="M131" s="92"/>
    </row>
    <row r="132" spans="2:13">
      <c r="B132" s="38" t="s">
        <v>84</v>
      </c>
      <c r="C132" s="36" t="s">
        <v>46</v>
      </c>
      <c r="D132" s="36" t="s">
        <v>46</v>
      </c>
      <c r="E132" s="36" t="s">
        <v>46</v>
      </c>
      <c r="F132" s="36" t="s">
        <v>46</v>
      </c>
      <c r="G132" s="36" t="s">
        <v>46</v>
      </c>
      <c r="H132" s="36"/>
      <c r="I132" s="70"/>
      <c r="J132" s="70"/>
      <c r="K132" s="92"/>
      <c r="L132" s="92"/>
      <c r="M132" s="92"/>
    </row>
    <row r="133" spans="2:13">
      <c r="B133" s="38" t="s">
        <v>85</v>
      </c>
      <c r="C133" s="36">
        <v>107</v>
      </c>
      <c r="D133" s="36">
        <v>73</v>
      </c>
      <c r="E133" s="36" t="s">
        <v>46</v>
      </c>
      <c r="F133" s="36" t="s">
        <v>46</v>
      </c>
      <c r="G133" s="36">
        <v>25</v>
      </c>
      <c r="H133" s="36"/>
      <c r="I133" s="70"/>
      <c r="J133" s="70"/>
      <c r="K133" s="92"/>
      <c r="L133" s="92"/>
      <c r="M133" s="92"/>
    </row>
    <row r="134" spans="2:13">
      <c r="B134" s="38" t="s">
        <v>86</v>
      </c>
      <c r="C134" s="36">
        <v>96</v>
      </c>
      <c r="D134" s="36">
        <v>69</v>
      </c>
      <c r="E134" s="36" t="s">
        <v>46</v>
      </c>
      <c r="F134" s="36" t="s">
        <v>46</v>
      </c>
      <c r="G134" s="36">
        <v>21</v>
      </c>
      <c r="H134" s="36"/>
      <c r="I134" s="70"/>
      <c r="J134" s="70"/>
      <c r="K134" s="92"/>
      <c r="L134" s="92"/>
      <c r="M134" s="92"/>
    </row>
    <row r="135" spans="2:13">
      <c r="B135" s="38" t="s">
        <v>87</v>
      </c>
      <c r="C135" s="36">
        <v>7</v>
      </c>
      <c r="D135" s="36">
        <v>3</v>
      </c>
      <c r="E135" s="36" t="s">
        <v>73</v>
      </c>
      <c r="F135" s="36">
        <v>2</v>
      </c>
      <c r="G135" s="36">
        <v>1</v>
      </c>
      <c r="H135" s="36"/>
      <c r="I135" s="70"/>
      <c r="J135" s="70"/>
      <c r="K135" s="92"/>
      <c r="L135" s="92"/>
      <c r="M135" s="92"/>
    </row>
    <row r="136" spans="2:13">
      <c r="B136" s="38" t="s">
        <v>88</v>
      </c>
      <c r="C136" s="36">
        <v>5</v>
      </c>
      <c r="D136" s="36">
        <v>1</v>
      </c>
      <c r="E136" s="36" t="s">
        <v>46</v>
      </c>
      <c r="F136" s="36" t="s">
        <v>73</v>
      </c>
      <c r="G136" s="36">
        <v>3</v>
      </c>
      <c r="H136" s="36"/>
      <c r="I136" s="70"/>
      <c r="J136" s="70"/>
      <c r="K136" s="92"/>
      <c r="L136" s="92"/>
      <c r="M136" s="92"/>
    </row>
    <row r="137" spans="2:13">
      <c r="B137" s="38" t="s">
        <v>89</v>
      </c>
      <c r="C137" s="36">
        <v>64</v>
      </c>
      <c r="D137" s="36" t="s">
        <v>46</v>
      </c>
      <c r="E137" s="36" t="s">
        <v>46</v>
      </c>
      <c r="F137" s="36" t="s">
        <v>46</v>
      </c>
      <c r="G137" s="36">
        <v>7</v>
      </c>
      <c r="H137" s="36"/>
      <c r="I137" s="70"/>
      <c r="J137" s="70"/>
      <c r="K137" s="92"/>
      <c r="L137" s="92"/>
      <c r="M137" s="92"/>
    </row>
    <row r="138" spans="2:13">
      <c r="B138" s="38" t="s">
        <v>90</v>
      </c>
      <c r="C138" s="36" t="s">
        <v>46</v>
      </c>
      <c r="D138" s="36" t="s">
        <v>46</v>
      </c>
      <c r="E138" s="36" t="s">
        <v>46</v>
      </c>
      <c r="F138" s="36" t="s">
        <v>46</v>
      </c>
      <c r="G138" s="36" t="s">
        <v>46</v>
      </c>
      <c r="H138" s="36"/>
      <c r="I138" s="70"/>
      <c r="J138" s="70"/>
      <c r="K138" s="92"/>
      <c r="L138" s="92"/>
      <c r="M138" s="92"/>
    </row>
    <row r="139" spans="2:13">
      <c r="B139" s="38" t="s">
        <v>91</v>
      </c>
      <c r="C139" s="36">
        <v>29</v>
      </c>
      <c r="D139" s="36">
        <v>15</v>
      </c>
      <c r="E139" s="36" t="s">
        <v>46</v>
      </c>
      <c r="F139" s="36" t="s">
        <v>73</v>
      </c>
      <c r="G139" s="36">
        <v>5</v>
      </c>
      <c r="H139" s="36"/>
      <c r="I139" s="70"/>
      <c r="J139" s="70"/>
      <c r="K139" s="92"/>
      <c r="L139" s="92"/>
      <c r="M139" s="92"/>
    </row>
    <row r="140" spans="2:13">
      <c r="B140" s="538" t="s">
        <v>99</v>
      </c>
      <c r="C140" s="539"/>
      <c r="D140" s="539"/>
      <c r="E140" s="539"/>
      <c r="F140" s="539"/>
      <c r="G140" s="539"/>
      <c r="H140" s="33"/>
      <c r="I140" s="33"/>
      <c r="J140" s="33"/>
    </row>
    <row r="141" spans="2:13">
      <c r="B141" s="534" t="s">
        <v>93</v>
      </c>
      <c r="C141" s="535"/>
      <c r="D141" s="535"/>
      <c r="E141" s="535"/>
      <c r="F141" s="535"/>
      <c r="G141" s="535"/>
      <c r="H141" s="33"/>
      <c r="I141" s="33"/>
      <c r="J141" s="33"/>
    </row>
    <row r="142" spans="2:13">
      <c r="B142" t="s">
        <v>170</v>
      </c>
    </row>
    <row r="145" spans="1:8" ht="18.75">
      <c r="A145" s="159" t="s">
        <v>160</v>
      </c>
    </row>
    <row r="146" spans="1:8" ht="15.75" thickBot="1"/>
    <row r="147" spans="1:8">
      <c r="B147" s="139" t="s">
        <v>128</v>
      </c>
      <c r="C147" s="142" t="s">
        <v>129</v>
      </c>
      <c r="D147" s="143"/>
      <c r="E147" s="143"/>
      <c r="F147" s="143"/>
      <c r="G147" s="143"/>
      <c r="H147" s="144"/>
    </row>
    <row r="148" spans="1:8">
      <c r="B148" s="140" t="s">
        <v>3</v>
      </c>
      <c r="C148" s="145" t="s">
        <v>69</v>
      </c>
      <c r="D148" s="92"/>
      <c r="E148" s="92"/>
      <c r="F148" s="92"/>
      <c r="G148" s="92"/>
      <c r="H148" s="146"/>
    </row>
    <row r="149" spans="1:8">
      <c r="B149" s="140" t="s">
        <v>4</v>
      </c>
      <c r="C149" s="145" t="s">
        <v>66</v>
      </c>
      <c r="D149" s="128" t="s">
        <v>67</v>
      </c>
      <c r="E149" s="128" t="s">
        <v>68</v>
      </c>
      <c r="F149" s="92"/>
      <c r="G149" s="92"/>
      <c r="H149" s="146"/>
    </row>
    <row r="150" spans="1:8">
      <c r="B150" s="140" t="s">
        <v>5</v>
      </c>
      <c r="C150" s="145" t="s">
        <v>60</v>
      </c>
      <c r="D150" s="92"/>
      <c r="E150" s="92"/>
      <c r="F150" s="92"/>
      <c r="G150" s="92"/>
      <c r="H150" s="146"/>
    </row>
    <row r="151" spans="1:8">
      <c r="B151" s="140" t="s">
        <v>6</v>
      </c>
      <c r="C151" s="145" t="s">
        <v>75</v>
      </c>
      <c r="D151" s="92"/>
      <c r="E151" s="92"/>
      <c r="F151" s="92"/>
      <c r="G151" s="92"/>
      <c r="H151" s="146"/>
    </row>
    <row r="152" spans="1:8">
      <c r="B152" s="140" t="s">
        <v>7</v>
      </c>
      <c r="C152" s="145" t="s">
        <v>59</v>
      </c>
      <c r="D152" s="92"/>
      <c r="E152" s="92"/>
      <c r="F152" s="92"/>
      <c r="G152" s="92"/>
      <c r="H152" s="146"/>
    </row>
    <row r="153" spans="1:8">
      <c r="B153" s="140" t="s">
        <v>8</v>
      </c>
      <c r="C153" s="145" t="s">
        <v>62</v>
      </c>
      <c r="D153" s="128" t="s">
        <v>63</v>
      </c>
      <c r="E153" s="128" t="s">
        <v>64</v>
      </c>
      <c r="F153" s="92"/>
      <c r="G153" s="92"/>
      <c r="H153" s="146"/>
    </row>
    <row r="154" spans="1:8">
      <c r="B154" s="140" t="s">
        <v>9</v>
      </c>
      <c r="C154" s="145" t="s">
        <v>65</v>
      </c>
      <c r="D154" s="92"/>
      <c r="E154" s="92"/>
      <c r="F154" s="92"/>
      <c r="G154" s="92"/>
      <c r="H154" s="146"/>
    </row>
    <row r="155" spans="1:8">
      <c r="B155" s="140" t="s">
        <v>10</v>
      </c>
      <c r="C155" s="145" t="s">
        <v>61</v>
      </c>
      <c r="D155" s="92"/>
      <c r="E155" s="92"/>
      <c r="F155" s="92"/>
      <c r="G155" s="92"/>
      <c r="H155" s="146"/>
    </row>
    <row r="156" spans="1:8">
      <c r="B156" s="140" t="s">
        <v>126</v>
      </c>
      <c r="C156" s="145" t="s">
        <v>70</v>
      </c>
      <c r="D156" s="128" t="s">
        <v>71</v>
      </c>
      <c r="E156" s="128" t="s">
        <v>72</v>
      </c>
      <c r="F156" s="128" t="s">
        <v>74</v>
      </c>
      <c r="G156" s="128" t="s">
        <v>76</v>
      </c>
      <c r="H156" s="147" t="s">
        <v>77</v>
      </c>
    </row>
    <row r="157" spans="1:8">
      <c r="B157" s="140" t="s">
        <v>127</v>
      </c>
      <c r="C157" s="148"/>
      <c r="D157" s="92"/>
      <c r="E157" s="92"/>
      <c r="F157" s="92"/>
      <c r="G157" s="92"/>
      <c r="H157" s="146"/>
    </row>
    <row r="158" spans="1:8" ht="15.75" thickBot="1">
      <c r="B158" s="141" t="s">
        <v>12</v>
      </c>
      <c r="C158" s="149"/>
      <c r="D158" s="150"/>
      <c r="E158" s="150"/>
      <c r="F158" s="150"/>
      <c r="G158" s="150"/>
      <c r="H158" s="151"/>
    </row>
    <row r="163" spans="1:74" ht="18.75">
      <c r="A163" s="159" t="s">
        <v>164</v>
      </c>
    </row>
    <row r="165" spans="1:74">
      <c r="B165" t="s">
        <v>45</v>
      </c>
      <c r="C165">
        <v>1969</v>
      </c>
      <c r="D165">
        <v>1970</v>
      </c>
      <c r="E165">
        <v>1971</v>
      </c>
      <c r="F165">
        <v>1972</v>
      </c>
      <c r="G165">
        <v>1973</v>
      </c>
      <c r="H165">
        <v>1974</v>
      </c>
      <c r="I165">
        <v>1975</v>
      </c>
      <c r="J165">
        <v>1976</v>
      </c>
      <c r="K165">
        <v>1977</v>
      </c>
      <c r="L165">
        <v>1978</v>
      </c>
      <c r="M165">
        <v>1979</v>
      </c>
      <c r="N165">
        <v>1980</v>
      </c>
      <c r="O165">
        <v>1981</v>
      </c>
      <c r="P165">
        <v>1982</v>
      </c>
      <c r="Q165">
        <v>1983</v>
      </c>
      <c r="R165">
        <v>1984</v>
      </c>
      <c r="S165">
        <v>1985</v>
      </c>
      <c r="T165">
        <v>1986</v>
      </c>
      <c r="U165">
        <v>1987</v>
      </c>
      <c r="V165">
        <v>1988</v>
      </c>
      <c r="W165">
        <v>1989</v>
      </c>
      <c r="X165">
        <v>1990</v>
      </c>
      <c r="Y165">
        <v>1991</v>
      </c>
      <c r="Z165">
        <v>1992</v>
      </c>
      <c r="AA165">
        <v>1993</v>
      </c>
      <c r="AB165">
        <v>1994</v>
      </c>
      <c r="AC165">
        <v>1995</v>
      </c>
      <c r="AD165">
        <v>1996</v>
      </c>
      <c r="AE165">
        <v>1997</v>
      </c>
      <c r="AF165">
        <v>1998</v>
      </c>
      <c r="AG165">
        <v>1999</v>
      </c>
      <c r="AH165">
        <v>2000</v>
      </c>
      <c r="AI165">
        <v>2001</v>
      </c>
      <c r="AJ165">
        <v>2002</v>
      </c>
      <c r="AK165">
        <v>2003</v>
      </c>
      <c r="AL165">
        <v>2004</v>
      </c>
      <c r="AM165">
        <v>2005</v>
      </c>
      <c r="AN165">
        <v>2006</v>
      </c>
      <c r="AO165">
        <v>2007</v>
      </c>
      <c r="AP165">
        <v>2008</v>
      </c>
      <c r="AQ165">
        <v>2009</v>
      </c>
      <c r="AR165">
        <v>2010</v>
      </c>
      <c r="AS165">
        <v>2011</v>
      </c>
      <c r="AT165">
        <v>2012</v>
      </c>
      <c r="AU165">
        <v>2013</v>
      </c>
      <c r="AV165">
        <v>2014</v>
      </c>
      <c r="AW165">
        <v>2015</v>
      </c>
      <c r="AX165">
        <v>2016</v>
      </c>
      <c r="AY165">
        <v>2017</v>
      </c>
      <c r="AZ165">
        <v>2018</v>
      </c>
      <c r="BA165">
        <v>2019</v>
      </c>
      <c r="BB165">
        <v>2020</v>
      </c>
      <c r="BC165">
        <v>2021</v>
      </c>
      <c r="BD165">
        <v>2022</v>
      </c>
      <c r="BE165">
        <v>2023</v>
      </c>
      <c r="BF165">
        <v>2024</v>
      </c>
      <c r="BG165">
        <v>2025</v>
      </c>
      <c r="BH165">
        <v>2026</v>
      </c>
      <c r="BI165">
        <v>2027</v>
      </c>
      <c r="BJ165">
        <v>2028</v>
      </c>
      <c r="BK165">
        <v>2029</v>
      </c>
      <c r="BL165">
        <v>2030</v>
      </c>
      <c r="BM165">
        <v>2031</v>
      </c>
      <c r="BN165">
        <v>2032</v>
      </c>
      <c r="BO165">
        <v>2033</v>
      </c>
      <c r="BP165">
        <v>2034</v>
      </c>
      <c r="BQ165">
        <v>2035</v>
      </c>
      <c r="BR165">
        <v>2036</v>
      </c>
      <c r="BS165">
        <v>2037</v>
      </c>
      <c r="BT165">
        <v>2038</v>
      </c>
      <c r="BU165">
        <v>2039</v>
      </c>
      <c r="BV165">
        <v>2040</v>
      </c>
    </row>
    <row r="166" spans="1:74" s="104" customFormat="1">
      <c r="B166" s="104" t="s">
        <v>141</v>
      </c>
      <c r="C166" s="104">
        <v>96.16</v>
      </c>
      <c r="D166" s="104">
        <v>99.76</v>
      </c>
      <c r="E166" s="104">
        <v>102.36499999999999</v>
      </c>
      <c r="F166" s="104">
        <v>104.31399999999999</v>
      </c>
      <c r="G166" s="104">
        <v>104.14100000000001</v>
      </c>
      <c r="H166" s="104">
        <v>104.941</v>
      </c>
      <c r="I166" s="104">
        <v>106.206</v>
      </c>
      <c r="J166" s="104">
        <v>107.875</v>
      </c>
      <c r="K166" s="104">
        <v>109.73</v>
      </c>
      <c r="L166" s="104">
        <v>111.3</v>
      </c>
      <c r="M166" s="104">
        <v>113.127</v>
      </c>
      <c r="N166" s="104">
        <v>116.026</v>
      </c>
      <c r="O166" s="104">
        <v>117.336</v>
      </c>
      <c r="P166" s="104">
        <v>118.43</v>
      </c>
      <c r="Q166" s="104">
        <v>119.85299999999999</v>
      </c>
      <c r="R166" s="104">
        <v>120.774</v>
      </c>
      <c r="S166" s="104">
        <v>122.33799999999999</v>
      </c>
      <c r="T166" s="104">
        <v>123.807</v>
      </c>
      <c r="U166" s="104">
        <v>125.375</v>
      </c>
      <c r="V166" s="104">
        <v>128.30000000000001</v>
      </c>
      <c r="W166" s="104">
        <v>130.68600000000001</v>
      </c>
      <c r="X166" s="104">
        <v>132.143</v>
      </c>
      <c r="Y166" s="104">
        <v>132.99600000000001</v>
      </c>
      <c r="Z166" s="104">
        <v>134.042</v>
      </c>
      <c r="AA166" s="104">
        <v>135.98500000000001</v>
      </c>
      <c r="AB166" s="104">
        <v>138.44200000000001</v>
      </c>
      <c r="AC166" s="104">
        <v>140.10400000000001</v>
      </c>
      <c r="AD166" s="104">
        <v>141.239</v>
      </c>
      <c r="AE166" s="104">
        <v>142.72900000000001</v>
      </c>
      <c r="AF166" s="104">
        <v>143.75800000000001</v>
      </c>
      <c r="AG166" s="104">
        <v>145.37899999999999</v>
      </c>
      <c r="AH166" s="104">
        <v>147.07</v>
      </c>
      <c r="AI166" s="104">
        <v>147.97900000000001</v>
      </c>
      <c r="AJ166" s="104">
        <v>148.79499999999999</v>
      </c>
      <c r="AK166" s="104">
        <v>149.09299999999999</v>
      </c>
      <c r="AL166" s="104">
        <v>149.71199999999999</v>
      </c>
      <c r="AM166" s="104">
        <v>149.983</v>
      </c>
      <c r="AN166" s="104">
        <v>150.25700000000001</v>
      </c>
      <c r="AO166" s="104">
        <v>150.69800000000001</v>
      </c>
      <c r="AP166" s="104">
        <v>151.36699999999999</v>
      </c>
      <c r="AQ166" s="104">
        <v>152.31299999999999</v>
      </c>
      <c r="AR166" s="104">
        <v>154.26499999999999</v>
      </c>
      <c r="AS166" s="104">
        <v>156.215</v>
      </c>
      <c r="AT166" s="104">
        <v>158.18199999999999</v>
      </c>
      <c r="AU166" s="104">
        <v>160.16399999999999</v>
      </c>
      <c r="AV166" s="104">
        <v>162.16200000000001</v>
      </c>
      <c r="AW166" s="104">
        <v>164.17</v>
      </c>
      <c r="AX166" s="104">
        <v>166.18799999999999</v>
      </c>
      <c r="AY166" s="104">
        <v>168.21799999999999</v>
      </c>
      <c r="AZ166" s="104">
        <v>170.255</v>
      </c>
      <c r="BA166" s="104">
        <v>172.29900000000001</v>
      </c>
      <c r="BB166" s="104">
        <v>174.34800000000001</v>
      </c>
      <c r="BC166" s="104">
        <v>176.40700000000001</v>
      </c>
      <c r="BD166" s="104">
        <v>178.47399999999999</v>
      </c>
      <c r="BE166" s="104">
        <v>180.54300000000001</v>
      </c>
      <c r="BF166" s="104">
        <v>182.619</v>
      </c>
      <c r="BG166" s="104">
        <v>184.69399999999999</v>
      </c>
      <c r="BH166" s="104">
        <v>186.767</v>
      </c>
      <c r="BI166" s="104">
        <v>188.84399999999999</v>
      </c>
      <c r="BJ166" s="104">
        <v>190.92</v>
      </c>
      <c r="BK166" s="104">
        <v>192.99700000000001</v>
      </c>
      <c r="BL166" s="104">
        <v>195.07</v>
      </c>
      <c r="BM166" s="104">
        <v>197.142</v>
      </c>
      <c r="BN166" s="104">
        <v>199.21299999999999</v>
      </c>
      <c r="BO166" s="104">
        <v>201.28700000000001</v>
      </c>
      <c r="BP166" s="104">
        <v>203.36500000000001</v>
      </c>
      <c r="BQ166" s="104">
        <v>205.44499999999999</v>
      </c>
      <c r="BR166" s="104">
        <v>207.523</v>
      </c>
      <c r="BS166" s="104">
        <v>209.60599999999999</v>
      </c>
      <c r="BT166" s="104">
        <v>211.691</v>
      </c>
      <c r="BU166" s="104">
        <v>213.78100000000001</v>
      </c>
      <c r="BV166" s="104">
        <v>215.869</v>
      </c>
    </row>
    <row r="167" spans="1:74" s="104" customFormat="1">
      <c r="B167" s="104" t="s">
        <v>142</v>
      </c>
      <c r="C167" s="104">
        <v>26.507000000000001</v>
      </c>
      <c r="D167" s="104">
        <v>27.847999999999999</v>
      </c>
      <c r="E167" s="104">
        <v>29.013000000000002</v>
      </c>
      <c r="F167" s="104">
        <v>30.202000000000002</v>
      </c>
      <c r="G167" s="104">
        <v>30.745999999999999</v>
      </c>
      <c r="H167" s="104">
        <v>31.408999999999999</v>
      </c>
      <c r="I167" s="104">
        <v>32.357999999999997</v>
      </c>
      <c r="J167" s="104">
        <v>33.399000000000001</v>
      </c>
      <c r="K167" s="104">
        <v>34.337000000000003</v>
      </c>
      <c r="L167" s="104">
        <v>35.29</v>
      </c>
      <c r="M167" s="104">
        <v>36.768999999999998</v>
      </c>
      <c r="N167" s="104">
        <v>38.716000000000001</v>
      </c>
      <c r="O167" s="104">
        <v>39.493000000000002</v>
      </c>
      <c r="P167" s="104">
        <v>40.005000000000003</v>
      </c>
      <c r="Q167" s="104">
        <v>40.667999999999999</v>
      </c>
      <c r="R167" s="104">
        <v>41.487000000000002</v>
      </c>
      <c r="S167" s="104">
        <v>42.457000000000001</v>
      </c>
      <c r="T167" s="104">
        <v>43.500999999999998</v>
      </c>
      <c r="U167" s="104">
        <v>44.476999999999997</v>
      </c>
      <c r="V167" s="104">
        <v>46.183</v>
      </c>
      <c r="W167" s="104">
        <v>47.744</v>
      </c>
      <c r="X167" s="104">
        <v>48.594000000000001</v>
      </c>
      <c r="Y167" s="104">
        <v>49.185000000000002</v>
      </c>
      <c r="Z167" s="104">
        <v>49.970999999999997</v>
      </c>
      <c r="AA167" s="104">
        <v>50.698</v>
      </c>
      <c r="AB167" s="104">
        <v>51.402999999999999</v>
      </c>
      <c r="AC167" s="104">
        <v>52.432000000000002</v>
      </c>
      <c r="AD167" s="104">
        <v>53.591999999999999</v>
      </c>
      <c r="AE167" s="104">
        <v>54.545999999999999</v>
      </c>
      <c r="AF167" s="104">
        <v>55.326999999999998</v>
      </c>
      <c r="AG167" s="104">
        <v>55.911999999999999</v>
      </c>
      <c r="AH167" s="104">
        <v>56.706000000000003</v>
      </c>
      <c r="AI167" s="104">
        <v>57.197000000000003</v>
      </c>
      <c r="AJ167" s="104">
        <v>57.66</v>
      </c>
      <c r="AK167" s="104">
        <v>57.96</v>
      </c>
      <c r="AL167" s="104">
        <v>58.387999999999998</v>
      </c>
      <c r="AM167" s="104">
        <v>58.671999999999997</v>
      </c>
      <c r="AN167" s="104">
        <v>58.969000000000001</v>
      </c>
      <c r="AO167" s="104">
        <v>59.35</v>
      </c>
      <c r="AP167" s="104">
        <v>59.848999999999997</v>
      </c>
      <c r="AQ167" s="104">
        <v>60.478000000000002</v>
      </c>
      <c r="AR167" s="104">
        <v>60.825000000000003</v>
      </c>
      <c r="AS167" s="104">
        <v>61.679000000000002</v>
      </c>
      <c r="AT167" s="104">
        <v>62.692999999999998</v>
      </c>
      <c r="AU167" s="104">
        <v>63.7</v>
      </c>
      <c r="AV167" s="104">
        <v>64.700999999999993</v>
      </c>
      <c r="AW167" s="104">
        <v>65.692999999999998</v>
      </c>
      <c r="AX167" s="104">
        <v>66.674000000000007</v>
      </c>
      <c r="AY167" s="104">
        <v>67.643000000000001</v>
      </c>
      <c r="AZ167" s="104">
        <v>68.599000000000004</v>
      </c>
      <c r="BA167" s="104">
        <v>69.543999999999997</v>
      </c>
      <c r="BB167" s="104">
        <v>70.48</v>
      </c>
      <c r="BC167" s="104">
        <v>71.408000000000001</v>
      </c>
      <c r="BD167" s="104">
        <v>72.325000000000003</v>
      </c>
      <c r="BE167" s="104">
        <v>73.225999999999999</v>
      </c>
      <c r="BF167" s="104">
        <v>74.114000000000004</v>
      </c>
      <c r="BG167" s="104">
        <v>74.986999999999995</v>
      </c>
      <c r="BH167" s="104">
        <v>75.846000000000004</v>
      </c>
      <c r="BI167" s="104">
        <v>76.691999999999993</v>
      </c>
      <c r="BJ167" s="104">
        <v>77.524000000000001</v>
      </c>
      <c r="BK167" s="104">
        <v>78.343999999999994</v>
      </c>
      <c r="BL167" s="104">
        <v>79.153000000000006</v>
      </c>
      <c r="BM167" s="104">
        <v>79.950999999999993</v>
      </c>
      <c r="BN167" s="104">
        <v>80.736999999999995</v>
      </c>
      <c r="BO167" s="104">
        <v>81.510999999999996</v>
      </c>
      <c r="BP167" s="104">
        <v>82.272999999999996</v>
      </c>
      <c r="BQ167" s="104">
        <v>83.02</v>
      </c>
      <c r="BR167" s="104">
        <v>83.75</v>
      </c>
      <c r="BS167" s="104">
        <v>84.465999999999994</v>
      </c>
      <c r="BT167" s="104">
        <v>85.165999999999997</v>
      </c>
      <c r="BU167" s="104">
        <v>85.85</v>
      </c>
      <c r="BV167" s="104">
        <v>86.519000000000005</v>
      </c>
    </row>
    <row r="168" spans="1:74" s="104" customFormat="1">
      <c r="B168" s="104" t="s">
        <v>143</v>
      </c>
      <c r="C168" s="104">
        <v>47.54</v>
      </c>
      <c r="D168" s="104">
        <v>49.427999999999997</v>
      </c>
      <c r="E168" s="104">
        <v>49.337000000000003</v>
      </c>
      <c r="F168" s="104">
        <v>49.74</v>
      </c>
      <c r="G168" s="104">
        <v>50.783999999999999</v>
      </c>
      <c r="H168" s="104">
        <v>51.338000000000001</v>
      </c>
      <c r="I168" s="104">
        <v>51.064</v>
      </c>
      <c r="J168" s="104">
        <v>53.762999999999998</v>
      </c>
      <c r="K168" s="104">
        <v>56.326000000000001</v>
      </c>
      <c r="L168" s="104">
        <v>61.44</v>
      </c>
      <c r="M168" s="104">
        <v>65.108999999999995</v>
      </c>
      <c r="N168" s="104">
        <v>67.03</v>
      </c>
      <c r="O168" s="104">
        <v>69.953999999999994</v>
      </c>
      <c r="P168" s="104">
        <v>71.489999999999995</v>
      </c>
      <c r="Q168" s="104">
        <v>73.519000000000005</v>
      </c>
      <c r="R168" s="104">
        <v>77.320999999999998</v>
      </c>
      <c r="S168" s="104">
        <v>82.05</v>
      </c>
      <c r="T168" s="104">
        <v>85.712999999999994</v>
      </c>
      <c r="U168" s="104">
        <v>89.716999999999999</v>
      </c>
      <c r="V168" s="104">
        <v>95.260999999999996</v>
      </c>
      <c r="W168" s="104">
        <v>98.872</v>
      </c>
      <c r="X168" s="104">
        <v>98.936999999999998</v>
      </c>
      <c r="Y168" s="104">
        <v>96.858000000000004</v>
      </c>
      <c r="Z168" s="104">
        <v>97.978999999999999</v>
      </c>
      <c r="AA168" s="104">
        <v>100.05</v>
      </c>
      <c r="AB168" s="104">
        <v>102.59399999999999</v>
      </c>
      <c r="AC168" s="104">
        <v>104.47799999999999</v>
      </c>
      <c r="AD168" s="104">
        <v>107.375</v>
      </c>
      <c r="AE168" s="104">
        <v>109.075</v>
      </c>
      <c r="AF168" s="104">
        <v>111.715</v>
      </c>
      <c r="AG168" s="104">
        <v>114.15900000000001</v>
      </c>
      <c r="AH168" s="104">
        <v>118.524</v>
      </c>
      <c r="AI168" s="104">
        <v>120.008</v>
      </c>
      <c r="AJ168" s="104">
        <v>119.087</v>
      </c>
      <c r="AK168" s="104">
        <v>119.354</v>
      </c>
      <c r="AL168" s="104">
        <v>121.52800000000001</v>
      </c>
      <c r="AM168" s="104">
        <v>122.241</v>
      </c>
      <c r="AN168" s="104">
        <v>122.89</v>
      </c>
      <c r="AO168" s="104">
        <v>124.336</v>
      </c>
      <c r="AP168" s="104">
        <v>125.636</v>
      </c>
      <c r="AQ168" s="104">
        <v>124.098</v>
      </c>
      <c r="AR168" s="104">
        <v>123.86199999999999</v>
      </c>
      <c r="AS168" s="104">
        <v>127.2</v>
      </c>
      <c r="AT168" s="104">
        <v>128.83699999999999</v>
      </c>
      <c r="AU168" s="104">
        <v>130.49600000000001</v>
      </c>
      <c r="AV168" s="104">
        <v>132.16900000000001</v>
      </c>
      <c r="AW168" s="104">
        <v>133.864</v>
      </c>
      <c r="AX168" s="104">
        <v>135.57900000000001</v>
      </c>
      <c r="AY168" s="104">
        <v>137.31200000000001</v>
      </c>
      <c r="AZ168" s="104">
        <v>139.06200000000001</v>
      </c>
      <c r="BA168" s="104">
        <v>140.83199999999999</v>
      </c>
      <c r="BB168" s="104">
        <v>142.62</v>
      </c>
      <c r="BC168" s="104">
        <v>144.43</v>
      </c>
      <c r="BD168" s="104">
        <v>146.256</v>
      </c>
      <c r="BE168" s="104">
        <v>148.10300000000001</v>
      </c>
      <c r="BF168" s="104">
        <v>149.97</v>
      </c>
      <c r="BG168" s="104">
        <v>151.85400000000001</v>
      </c>
      <c r="BH168" s="104">
        <v>153.762</v>
      </c>
      <c r="BI168" s="104">
        <v>155.685</v>
      </c>
      <c r="BJ168" s="104">
        <v>157.62799999999999</v>
      </c>
      <c r="BK168" s="104">
        <v>159.59299999999999</v>
      </c>
      <c r="BL168" s="104">
        <v>161.57599999999999</v>
      </c>
      <c r="BM168" s="104">
        <v>163.57599999999999</v>
      </c>
      <c r="BN168" s="104">
        <v>165.59800000000001</v>
      </c>
      <c r="BO168" s="104">
        <v>167.642</v>
      </c>
      <c r="BP168" s="104">
        <v>169.702</v>
      </c>
      <c r="BQ168" s="104">
        <v>171.78299999999999</v>
      </c>
      <c r="BR168" s="104">
        <v>173.88399999999999</v>
      </c>
      <c r="BS168" s="104">
        <v>176.005</v>
      </c>
      <c r="BT168" s="104">
        <v>178.14599999999999</v>
      </c>
      <c r="BU168" s="104">
        <v>180.30799999999999</v>
      </c>
      <c r="BV168" s="104">
        <v>182.488</v>
      </c>
    </row>
    <row r="169" spans="1:74">
      <c r="AQ169" s="90">
        <f>AQ168*1000</f>
        <v>124098</v>
      </c>
    </row>
    <row r="170" spans="1:74">
      <c r="B170" t="s">
        <v>171</v>
      </c>
    </row>
  </sheetData>
  <mergeCells count="25">
    <mergeCell ref="B119:L119"/>
    <mergeCell ref="B77:L77"/>
    <mergeCell ref="B140:G140"/>
    <mergeCell ref="B141:G141"/>
    <mergeCell ref="B123:G123"/>
    <mergeCell ref="B124:B125"/>
    <mergeCell ref="C124:G124"/>
    <mergeCell ref="B118:L118"/>
    <mergeCell ref="F51:G51"/>
    <mergeCell ref="N78:R78"/>
    <mergeCell ref="C101:G101"/>
    <mergeCell ref="N101:R101"/>
    <mergeCell ref="C78:G78"/>
    <mergeCell ref="C35:I35"/>
    <mergeCell ref="J35:J36"/>
    <mergeCell ref="C16:I16"/>
    <mergeCell ref="C26:I26"/>
    <mergeCell ref="B42:B43"/>
    <mergeCell ref="C42:I42"/>
    <mergeCell ref="J42:J43"/>
    <mergeCell ref="B16:B17"/>
    <mergeCell ref="B26:B27"/>
    <mergeCell ref="J26:J27"/>
    <mergeCell ref="J16:J17"/>
    <mergeCell ref="B35:B36"/>
  </mergeCells>
  <hyperlinks>
    <hyperlink ref="B24" r:id="rId1"/>
    <hyperlink ref="B14" r:id="rId2"/>
  </hyperlinks>
  <pageMargins left="0.7" right="0.7" top="0.75" bottom="0.75" header="0.3" footer="0.3"/>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H57"/>
  <sheetViews>
    <sheetView workbookViewId="0">
      <selection activeCell="G13" sqref="G13"/>
    </sheetView>
  </sheetViews>
  <sheetFormatPr defaultRowHeight="15"/>
  <cols>
    <col min="2" max="2" width="41" customWidth="1"/>
    <col min="3" max="3" width="13.28515625" bestFit="1" customWidth="1"/>
    <col min="4" max="4" width="11.7109375" customWidth="1"/>
    <col min="5" max="5" width="13" customWidth="1"/>
    <col min="6" max="6" width="12.140625" customWidth="1"/>
    <col min="7" max="7" width="13.28515625" customWidth="1"/>
    <col min="8" max="8" width="14.28515625" bestFit="1" customWidth="1"/>
  </cols>
  <sheetData>
    <row r="3" spans="1:8">
      <c r="A3" t="s">
        <v>333</v>
      </c>
      <c r="B3" t="s">
        <v>334</v>
      </c>
      <c r="C3">
        <v>2005</v>
      </c>
      <c r="D3">
        <v>2006</v>
      </c>
      <c r="E3">
        <v>2007</v>
      </c>
      <c r="F3">
        <v>2008</v>
      </c>
      <c r="G3">
        <v>2009</v>
      </c>
      <c r="H3">
        <v>2010</v>
      </c>
    </row>
    <row r="4" spans="1:8">
      <c r="B4" t="s">
        <v>411</v>
      </c>
      <c r="C4" s="27">
        <v>94799</v>
      </c>
      <c r="D4" s="27">
        <v>94853</v>
      </c>
      <c r="E4" s="27">
        <v>95112</v>
      </c>
      <c r="F4" s="27">
        <v>94750</v>
      </c>
      <c r="G4" s="27">
        <v>92078</v>
      </c>
      <c r="H4" s="27">
        <v>93253</v>
      </c>
    </row>
    <row r="5" spans="1:8">
      <c r="A5" s="43" t="s">
        <v>412</v>
      </c>
      <c r="B5" t="s">
        <v>413</v>
      </c>
      <c r="C5" s="27">
        <v>300941</v>
      </c>
      <c r="D5" s="27">
        <v>302969</v>
      </c>
      <c r="E5" s="27">
        <v>303438</v>
      </c>
      <c r="F5" s="27">
        <v>302648</v>
      </c>
      <c r="G5" s="27">
        <v>292370</v>
      </c>
      <c r="H5" s="27">
        <v>293088</v>
      </c>
    </row>
    <row r="6" spans="1:8">
      <c r="C6" s="42">
        <f t="shared" ref="C6:F6" si="0">C4/C5</f>
        <v>0.3150085897235671</v>
      </c>
      <c r="D6" s="42">
        <f t="shared" si="0"/>
        <v>0.31307823572708759</v>
      </c>
      <c r="E6" s="42">
        <f t="shared" si="0"/>
        <v>0.31344788721254424</v>
      </c>
      <c r="F6" s="42">
        <f t="shared" si="0"/>
        <v>0.31306996907298246</v>
      </c>
      <c r="G6" s="42">
        <f>G4/G5</f>
        <v>0.31493655299791362</v>
      </c>
      <c r="H6" s="42">
        <f>H4/H5</f>
        <v>0.31817406376241947</v>
      </c>
    </row>
    <row r="7" spans="1:8">
      <c r="C7" s="42"/>
      <c r="D7" s="42"/>
      <c r="E7" s="42"/>
      <c r="F7" s="42"/>
      <c r="G7" s="42"/>
      <c r="H7" s="42"/>
    </row>
    <row r="8" spans="1:8">
      <c r="G8" s="42"/>
    </row>
    <row r="9" spans="1:8">
      <c r="B9" t="s">
        <v>122</v>
      </c>
    </row>
    <row r="10" spans="1:8">
      <c r="B10" s="321" t="s">
        <v>418</v>
      </c>
      <c r="C10" s="321">
        <v>2005</v>
      </c>
      <c r="D10" s="321">
        <v>2006</v>
      </c>
      <c r="E10" s="321">
        <v>2007</v>
      </c>
      <c r="F10" s="321">
        <v>2008</v>
      </c>
      <c r="G10" s="321">
        <v>2009</v>
      </c>
      <c r="H10" s="321">
        <v>2010</v>
      </c>
    </row>
    <row r="11" spans="1:8">
      <c r="B11" t="s">
        <v>1</v>
      </c>
      <c r="C11" s="323">
        <f t="shared" ref="C11:C16" si="1">C20*C$6</f>
        <v>1.638044666562549</v>
      </c>
      <c r="D11" s="323">
        <f t="shared" ref="D11:G11" si="2">D20*D$6</f>
        <v>1.6280068257808553</v>
      </c>
      <c r="E11" s="323">
        <f t="shared" si="2"/>
        <v>1.7553081683902476</v>
      </c>
      <c r="F11" s="323">
        <f t="shared" si="2"/>
        <v>1.7218848299014036</v>
      </c>
      <c r="G11" s="323">
        <f t="shared" si="2"/>
        <v>1.7006573861887337</v>
      </c>
    </row>
    <row r="12" spans="1:8">
      <c r="B12" t="s">
        <v>338</v>
      </c>
      <c r="C12" s="323">
        <f t="shared" si="1"/>
        <v>2.6145712947056072</v>
      </c>
      <c r="D12" s="323">
        <f t="shared" ref="D12:G16" si="3">D21*D$6</f>
        <v>2.4107024150985747</v>
      </c>
      <c r="E12" s="323">
        <f t="shared" si="3"/>
        <v>2.1314456330453009</v>
      </c>
      <c r="F12" s="323">
        <f t="shared" si="3"/>
        <v>2.0975687927889823</v>
      </c>
      <c r="G12" s="323">
        <f t="shared" si="3"/>
        <v>2.3305304921845611</v>
      </c>
    </row>
    <row r="13" spans="1:8">
      <c r="B13" t="s">
        <v>121</v>
      </c>
      <c r="C13" s="323">
        <f t="shared" si="1"/>
        <v>6.3001717944713417E-2</v>
      </c>
      <c r="D13" s="323">
        <f t="shared" si="3"/>
        <v>3.1307823572708761E-2</v>
      </c>
      <c r="E13" s="323">
        <f t="shared" si="3"/>
        <v>6.2689577442508845E-2</v>
      </c>
      <c r="F13" s="323">
        <f t="shared" si="3"/>
        <v>0</v>
      </c>
      <c r="G13" s="323">
        <f t="shared" si="3"/>
        <v>3.1493655299791361E-2</v>
      </c>
    </row>
    <row r="14" spans="1:8">
      <c r="B14" t="s">
        <v>48</v>
      </c>
      <c r="C14" s="323">
        <f t="shared" si="1"/>
        <v>0.88202405122598782</v>
      </c>
      <c r="D14" s="323">
        <f t="shared" si="3"/>
        <v>1.0644660014720977</v>
      </c>
      <c r="E14" s="323">
        <f t="shared" si="3"/>
        <v>0.97168845035888707</v>
      </c>
      <c r="F14" s="323">
        <f t="shared" si="3"/>
        <v>1.0644378948481403</v>
      </c>
      <c r="G14" s="323">
        <f t="shared" si="3"/>
        <v>0.94480965899374092</v>
      </c>
    </row>
    <row r="15" spans="1:8">
      <c r="B15" t="s">
        <v>336</v>
      </c>
      <c r="C15" s="323">
        <f t="shared" si="1"/>
        <v>0.59851632047477743</v>
      </c>
      <c r="D15" s="323">
        <f t="shared" si="3"/>
        <v>0.50092517716334017</v>
      </c>
      <c r="E15" s="323">
        <f t="shared" si="3"/>
        <v>0.47017183081881636</v>
      </c>
      <c r="F15" s="323">
        <f t="shared" si="3"/>
        <v>0.46960495360947369</v>
      </c>
      <c r="G15" s="323">
        <f t="shared" si="3"/>
        <v>0.40941751889728767</v>
      </c>
    </row>
    <row r="16" spans="1:8">
      <c r="B16" t="s">
        <v>337</v>
      </c>
      <c r="C16" s="323">
        <f t="shared" si="1"/>
        <v>0.88202405122598793</v>
      </c>
      <c r="D16" s="323">
        <f t="shared" si="3"/>
        <v>0.97054253075397157</v>
      </c>
      <c r="E16" s="323">
        <f t="shared" si="3"/>
        <v>0.6895853518675974</v>
      </c>
      <c r="F16" s="323">
        <f t="shared" si="3"/>
        <v>0.72006092886785955</v>
      </c>
      <c r="G16" s="323">
        <f t="shared" si="3"/>
        <v>0.66136676129561867</v>
      </c>
    </row>
    <row r="17" spans="1:8">
      <c r="C17" s="323"/>
      <c r="D17" s="323"/>
      <c r="E17" s="323"/>
      <c r="F17" s="323"/>
      <c r="G17" s="323"/>
    </row>
    <row r="18" spans="1:8">
      <c r="B18" t="s">
        <v>23</v>
      </c>
      <c r="C18" s="323">
        <f>SUM(C11:C16)</f>
        <v>6.6781821021396226</v>
      </c>
      <c r="D18" s="323">
        <f t="shared" ref="D18" si="4">SUM(D11:D16)</f>
        <v>6.6059507738415482</v>
      </c>
      <c r="E18" s="323">
        <f t="shared" ref="E18" si="5">SUM(E11:E16)</f>
        <v>6.0808890119233583</v>
      </c>
      <c r="F18" s="323">
        <f t="shared" ref="F18" si="6">SUM(F11:F16)</f>
        <v>6.0735574000158588</v>
      </c>
      <c r="G18" s="323">
        <f t="shared" ref="G18" si="7">SUM(G11:G16)</f>
        <v>6.0782754728597332</v>
      </c>
    </row>
    <row r="19" spans="1:8">
      <c r="B19" s="321" t="s">
        <v>415</v>
      </c>
      <c r="C19" s="321">
        <v>2005</v>
      </c>
      <c r="D19" s="321">
        <v>2006</v>
      </c>
      <c r="E19" s="321">
        <v>2007</v>
      </c>
      <c r="F19" s="321">
        <v>2008</v>
      </c>
      <c r="G19" s="321">
        <v>2009</v>
      </c>
      <c r="H19" s="321">
        <v>2010</v>
      </c>
    </row>
    <row r="20" spans="1:8">
      <c r="B20" t="s">
        <v>1</v>
      </c>
      <c r="C20">
        <f>C28+C38</f>
        <v>5.2</v>
      </c>
      <c r="D20">
        <f t="shared" ref="D20:G20" si="8">D28+D38</f>
        <v>5.1999999999999993</v>
      </c>
      <c r="E20">
        <f t="shared" si="8"/>
        <v>5.6</v>
      </c>
      <c r="F20">
        <f t="shared" si="8"/>
        <v>5.5</v>
      </c>
      <c r="G20">
        <f t="shared" si="8"/>
        <v>5.4</v>
      </c>
    </row>
    <row r="21" spans="1:8">
      <c r="B21" t="s">
        <v>338</v>
      </c>
      <c r="C21">
        <f>C29+C39</f>
        <v>8.3000000000000007</v>
      </c>
      <c r="D21">
        <f t="shared" ref="D21:G21" si="9">D29+D39</f>
        <v>7.7</v>
      </c>
      <c r="E21">
        <f t="shared" si="9"/>
        <v>6.8</v>
      </c>
      <c r="F21">
        <f t="shared" si="9"/>
        <v>6.7</v>
      </c>
      <c r="G21">
        <f t="shared" si="9"/>
        <v>7.4</v>
      </c>
    </row>
    <row r="22" spans="1:8">
      <c r="B22" t="s">
        <v>121</v>
      </c>
      <c r="C22">
        <f>C40</f>
        <v>0.2</v>
      </c>
      <c r="D22">
        <f t="shared" ref="D22:G22" si="10">D40</f>
        <v>0.1</v>
      </c>
      <c r="E22">
        <f t="shared" si="10"/>
        <v>0.2</v>
      </c>
      <c r="F22">
        <f t="shared" si="10"/>
        <v>0</v>
      </c>
      <c r="G22">
        <f t="shared" si="10"/>
        <v>0.1</v>
      </c>
    </row>
    <row r="23" spans="1:8">
      <c r="B23" t="s">
        <v>48</v>
      </c>
      <c r="C23">
        <f>C30+C41</f>
        <v>2.8</v>
      </c>
      <c r="D23">
        <f t="shared" ref="D23:G23" si="11">D30+D41</f>
        <v>3.4</v>
      </c>
      <c r="E23">
        <f t="shared" si="11"/>
        <v>3.0999999999999996</v>
      </c>
      <c r="F23">
        <f t="shared" si="11"/>
        <v>3.4</v>
      </c>
      <c r="G23">
        <f t="shared" si="11"/>
        <v>3</v>
      </c>
    </row>
    <row r="24" spans="1:8">
      <c r="B24" t="s">
        <v>336</v>
      </c>
      <c r="C24">
        <f t="shared" ref="C24:G24" si="12">C31+C42</f>
        <v>1.9</v>
      </c>
      <c r="D24">
        <f t="shared" si="12"/>
        <v>1.6</v>
      </c>
      <c r="E24">
        <f t="shared" si="12"/>
        <v>1.5</v>
      </c>
      <c r="F24">
        <f t="shared" si="12"/>
        <v>1.5</v>
      </c>
      <c r="G24">
        <f t="shared" si="12"/>
        <v>1.2999999999999998</v>
      </c>
    </row>
    <row r="25" spans="1:8">
      <c r="B25" t="s">
        <v>337</v>
      </c>
      <c r="C25">
        <f t="shared" ref="C25:G25" si="13">C32+C43</f>
        <v>2.8000000000000003</v>
      </c>
      <c r="D25">
        <f t="shared" si="13"/>
        <v>3.1</v>
      </c>
      <c r="E25">
        <f t="shared" si="13"/>
        <v>2.2000000000000002</v>
      </c>
      <c r="F25">
        <f t="shared" si="13"/>
        <v>2.2999999999999998</v>
      </c>
      <c r="G25">
        <f t="shared" si="13"/>
        <v>2.1</v>
      </c>
    </row>
    <row r="26" spans="1:8">
      <c r="B26" t="s">
        <v>23</v>
      </c>
      <c r="C26">
        <f>SUM(C20:C25)</f>
        <v>21.2</v>
      </c>
      <c r="D26">
        <f t="shared" ref="D26:G26" si="14">SUM(D20:D25)</f>
        <v>21.1</v>
      </c>
      <c r="E26">
        <f t="shared" si="14"/>
        <v>19.399999999999995</v>
      </c>
      <c r="F26">
        <f t="shared" si="14"/>
        <v>19.400000000000002</v>
      </c>
      <c r="G26">
        <f t="shared" si="14"/>
        <v>19.3</v>
      </c>
    </row>
    <row r="27" spans="1:8">
      <c r="A27" s="43" t="s">
        <v>47</v>
      </c>
      <c r="B27" s="321" t="s">
        <v>416</v>
      </c>
      <c r="C27" s="321">
        <v>2005</v>
      </c>
      <c r="D27" s="321">
        <v>2006</v>
      </c>
      <c r="E27" s="321">
        <v>2007</v>
      </c>
      <c r="F27" s="321">
        <v>2008</v>
      </c>
      <c r="G27" s="321">
        <v>2009</v>
      </c>
      <c r="H27" s="321">
        <v>2010</v>
      </c>
    </row>
    <row r="28" spans="1:8">
      <c r="B28" t="s">
        <v>1</v>
      </c>
      <c r="C28">
        <v>2.6</v>
      </c>
      <c r="D28">
        <v>2.8</v>
      </c>
      <c r="E28">
        <v>3</v>
      </c>
      <c r="F28">
        <v>3</v>
      </c>
      <c r="G28">
        <v>2.9</v>
      </c>
    </row>
    <row r="29" spans="1:8">
      <c r="B29" t="s">
        <v>338</v>
      </c>
      <c r="C29">
        <v>3.3</v>
      </c>
      <c r="D29">
        <v>3</v>
      </c>
      <c r="E29">
        <v>2.2999999999999998</v>
      </c>
      <c r="F29">
        <v>3.2</v>
      </c>
      <c r="G29">
        <v>3.2</v>
      </c>
    </row>
    <row r="30" spans="1:8">
      <c r="B30" t="s">
        <v>48</v>
      </c>
      <c r="C30">
        <v>0.9</v>
      </c>
      <c r="D30">
        <v>1.5</v>
      </c>
      <c r="E30">
        <v>0.8</v>
      </c>
      <c r="F30">
        <v>0.6</v>
      </c>
      <c r="G30">
        <v>0.3</v>
      </c>
    </row>
    <row r="31" spans="1:8">
      <c r="B31" t="s">
        <v>336</v>
      </c>
      <c r="C31">
        <v>1</v>
      </c>
      <c r="D31">
        <v>0.8</v>
      </c>
      <c r="E31">
        <v>1</v>
      </c>
      <c r="F31">
        <v>0.8</v>
      </c>
      <c r="G31">
        <v>0.7</v>
      </c>
    </row>
    <row r="32" spans="1:8">
      <c r="B32" t="s">
        <v>337</v>
      </c>
      <c r="C32">
        <v>2.2000000000000002</v>
      </c>
      <c r="D32">
        <v>2.5</v>
      </c>
      <c r="E32">
        <v>1.6</v>
      </c>
      <c r="F32">
        <v>1.6</v>
      </c>
      <c r="G32">
        <v>1.5</v>
      </c>
    </row>
    <row r="33" spans="1:8">
      <c r="B33" t="s">
        <v>339</v>
      </c>
      <c r="C33">
        <v>0.2</v>
      </c>
      <c r="D33">
        <v>0.2</v>
      </c>
      <c r="E33">
        <v>0.2</v>
      </c>
      <c r="F33">
        <v>0.2</v>
      </c>
      <c r="G33">
        <v>0.2</v>
      </c>
    </row>
    <row r="34" spans="1:8">
      <c r="B34" t="s">
        <v>340</v>
      </c>
      <c r="C34">
        <v>5.6</v>
      </c>
      <c r="D34">
        <v>5.5</v>
      </c>
      <c r="E34">
        <v>5.6</v>
      </c>
      <c r="F34">
        <v>5.3</v>
      </c>
      <c r="G34">
        <v>4.7</v>
      </c>
    </row>
    <row r="35" spans="1:8">
      <c r="B35" t="s">
        <v>23</v>
      </c>
      <c r="C35">
        <f>SUM(C28:C34)</f>
        <v>15.799999999999999</v>
      </c>
      <c r="D35">
        <f t="shared" ref="D35:G35" si="15">SUM(D28:D34)</f>
        <v>16.299999999999997</v>
      </c>
      <c r="E35">
        <f t="shared" si="15"/>
        <v>14.499999999999998</v>
      </c>
      <c r="F35">
        <f t="shared" si="15"/>
        <v>14.7</v>
      </c>
      <c r="G35">
        <f t="shared" si="15"/>
        <v>13.5</v>
      </c>
    </row>
    <row r="37" spans="1:8">
      <c r="A37" s="43" t="s">
        <v>335</v>
      </c>
      <c r="B37" s="321" t="s">
        <v>417</v>
      </c>
      <c r="C37" s="321">
        <v>2005</v>
      </c>
      <c r="D37" s="321">
        <v>2006</v>
      </c>
      <c r="E37" s="321">
        <v>2007</v>
      </c>
      <c r="F37" s="321">
        <v>2008</v>
      </c>
      <c r="G37" s="321">
        <v>2009</v>
      </c>
      <c r="H37" s="321">
        <v>2010</v>
      </c>
    </row>
    <row r="38" spans="1:8">
      <c r="B38" t="s">
        <v>1</v>
      </c>
      <c r="C38">
        <v>2.6</v>
      </c>
      <c r="D38">
        <v>2.4</v>
      </c>
      <c r="E38">
        <v>2.6</v>
      </c>
      <c r="F38">
        <v>2.5</v>
      </c>
      <c r="G38">
        <v>2.5</v>
      </c>
    </row>
    <row r="39" spans="1:8">
      <c r="B39" t="s">
        <v>338</v>
      </c>
      <c r="C39">
        <v>5</v>
      </c>
      <c r="D39">
        <v>4.7</v>
      </c>
      <c r="E39">
        <v>4.5</v>
      </c>
      <c r="F39">
        <v>3.5</v>
      </c>
      <c r="G39">
        <v>4.2</v>
      </c>
    </row>
    <row r="40" spans="1:8">
      <c r="B40" t="s">
        <v>121</v>
      </c>
      <c r="C40">
        <v>0.2</v>
      </c>
      <c r="D40">
        <v>0.1</v>
      </c>
      <c r="E40">
        <v>0.2</v>
      </c>
      <c r="F40">
        <v>0</v>
      </c>
      <c r="G40">
        <v>0.1</v>
      </c>
    </row>
    <row r="41" spans="1:8">
      <c r="B41" t="s">
        <v>48</v>
      </c>
      <c r="C41">
        <v>1.9</v>
      </c>
      <c r="D41">
        <v>1.9</v>
      </c>
      <c r="E41">
        <v>2.2999999999999998</v>
      </c>
      <c r="F41">
        <v>2.8</v>
      </c>
      <c r="G41">
        <v>2.7</v>
      </c>
    </row>
    <row r="42" spans="1:8">
      <c r="B42" t="s">
        <v>336</v>
      </c>
      <c r="C42">
        <v>0.9</v>
      </c>
      <c r="D42">
        <v>0.8</v>
      </c>
      <c r="E42">
        <v>0.5</v>
      </c>
      <c r="F42">
        <v>0.7</v>
      </c>
      <c r="G42">
        <v>0.6</v>
      </c>
    </row>
    <row r="43" spans="1:8">
      <c r="B43" t="s">
        <v>337</v>
      </c>
      <c r="C43">
        <v>0.6</v>
      </c>
      <c r="D43">
        <v>0.6</v>
      </c>
      <c r="E43">
        <v>0.6</v>
      </c>
      <c r="F43">
        <v>0.7</v>
      </c>
      <c r="G43">
        <v>0.6</v>
      </c>
    </row>
    <row r="44" spans="1:8">
      <c r="B44" t="s">
        <v>339</v>
      </c>
    </row>
    <row r="45" spans="1:8">
      <c r="B45" t="s">
        <v>340</v>
      </c>
      <c r="C45">
        <v>7</v>
      </c>
      <c r="D45">
        <v>6.9</v>
      </c>
      <c r="E45">
        <v>7</v>
      </c>
      <c r="F45">
        <v>7</v>
      </c>
      <c r="G45">
        <v>6.8</v>
      </c>
    </row>
    <row r="46" spans="1:8">
      <c r="B46" t="s">
        <v>414</v>
      </c>
      <c r="C46">
        <f>SUM(C38:C45)</f>
        <v>18.2</v>
      </c>
      <c r="D46">
        <f t="shared" ref="D46:G46" si="16">SUM(D38:D45)</f>
        <v>17.399999999999999</v>
      </c>
      <c r="E46">
        <f t="shared" si="16"/>
        <v>17.7</v>
      </c>
      <c r="F46">
        <f t="shared" si="16"/>
        <v>17.2</v>
      </c>
      <c r="G46">
        <f t="shared" si="16"/>
        <v>17.5</v>
      </c>
    </row>
    <row r="49" spans="2:8">
      <c r="B49" s="321" t="s">
        <v>472</v>
      </c>
      <c r="C49" s="321">
        <v>2005</v>
      </c>
      <c r="D49" s="321">
        <v>2006</v>
      </c>
      <c r="E49" s="321">
        <v>2007</v>
      </c>
      <c r="F49" s="321">
        <v>2008</v>
      </c>
      <c r="G49" s="321">
        <v>2009</v>
      </c>
      <c r="H49" s="321">
        <v>2010</v>
      </c>
    </row>
    <row r="50" spans="2:8">
      <c r="B50" t="s">
        <v>425</v>
      </c>
      <c r="C50" s="27">
        <f>C45*1000000*C6</f>
        <v>2205060.1280649696</v>
      </c>
      <c r="D50" s="27">
        <f t="shared" ref="D50:G50" si="17">D45*1000000*D6</f>
        <v>2160239.8265169044</v>
      </c>
      <c r="E50" s="27">
        <f t="shared" si="17"/>
        <v>2194135.2104878095</v>
      </c>
      <c r="F50" s="27">
        <f t="shared" si="17"/>
        <v>2191489.7835108773</v>
      </c>
      <c r="G50" s="27">
        <f t="shared" si="17"/>
        <v>2141568.5603858125</v>
      </c>
    </row>
    <row r="51" spans="2:8">
      <c r="B51" t="s">
        <v>420</v>
      </c>
      <c r="C51" s="27">
        <f>C50*(1/3.412)</f>
        <v>646266.1571116558</v>
      </c>
      <c r="D51" s="27">
        <f t="shared" ref="D51:G51" si="18">D50*(1/3.412)</f>
        <v>633130.07811163669</v>
      </c>
      <c r="E51" s="27">
        <f t="shared" si="18"/>
        <v>643064.24691905326</v>
      </c>
      <c r="F51" s="27">
        <f t="shared" si="18"/>
        <v>642288.91662100749</v>
      </c>
      <c r="G51" s="27">
        <f t="shared" si="18"/>
        <v>627657.84302046092</v>
      </c>
    </row>
    <row r="52" spans="2:8">
      <c r="B52" t="s">
        <v>426</v>
      </c>
      <c r="C52" s="396">
        <f>'Town Electric (C&amp;I and RES)'!M27/1000</f>
        <v>804057.41399999999</v>
      </c>
      <c r="D52" s="396">
        <f>'Town Electric (C&amp;I and RES)'!N27/1000</f>
        <v>803254.91700000002</v>
      </c>
      <c r="E52" s="396">
        <f>'Town Electric (C&amp;I and RES)'!O27/1000</f>
        <v>829261.23400000005</v>
      </c>
      <c r="F52" s="396">
        <f>'Town Electric (C&amp;I and RES)'!P27/1000</f>
        <v>816027.46600000001</v>
      </c>
      <c r="G52" s="396">
        <f>'Town Electric (C&amp;I and RES)'!Q27/1000</f>
        <v>776436.43900000001</v>
      </c>
    </row>
    <row r="53" spans="2:8">
      <c r="B53" t="s">
        <v>471</v>
      </c>
      <c r="C53" s="42">
        <f>C51/C52</f>
        <v>0.80375623165593468</v>
      </c>
      <c r="D53" s="42">
        <f t="shared" ref="D53:G53" si="19">D51/D52</f>
        <v>0.78820566760581268</v>
      </c>
      <c r="E53" s="42">
        <f t="shared" si="19"/>
        <v>0.77546642789171216</v>
      </c>
      <c r="F53" s="42">
        <f t="shared" si="19"/>
        <v>0.78709227738298637</v>
      </c>
      <c r="G53" s="42">
        <f t="shared" si="19"/>
        <v>0.80838277480748288</v>
      </c>
    </row>
    <row r="54" spans="2:8">
      <c r="B54" t="s">
        <v>456</v>
      </c>
      <c r="C54" s="322">
        <f>C11*1000000</f>
        <v>1638044.6665625491</v>
      </c>
      <c r="D54" s="322">
        <f t="shared" ref="D54:G54" si="20">D11*1000000</f>
        <v>1628006.8257808553</v>
      </c>
      <c r="E54" s="322">
        <f t="shared" si="20"/>
        <v>1755308.1683902475</v>
      </c>
      <c r="F54" s="322">
        <f t="shared" si="20"/>
        <v>1721884.8299014035</v>
      </c>
      <c r="G54" s="27">
        <f t="shared" si="20"/>
        <v>1700657.3861887339</v>
      </c>
      <c r="H54" s="401">
        <f>G54/H57</f>
        <v>3674585.6</v>
      </c>
    </row>
    <row r="55" spans="2:8">
      <c r="B55" t="s">
        <v>470</v>
      </c>
    </row>
    <row r="56" spans="2:8">
      <c r="B56" t="s">
        <v>473</v>
      </c>
      <c r="H56" s="27">
        <f>'C&amp;I Calculations and References'!G72/10</f>
        <v>3674585.6</v>
      </c>
    </row>
    <row r="57" spans="2:8">
      <c r="H57" s="401">
        <f>G54/H56</f>
        <v>0.46281610263446682</v>
      </c>
    </row>
  </sheetData>
  <hyperlinks>
    <hyperlink ref="A27" r:id="rId1"/>
    <hyperlink ref="A37" r:id="rId2"/>
    <hyperlink ref="A5" r:id="rId3"/>
  </hyperlinks>
  <pageMargins left="0.7" right="0.7" top="0.75" bottom="0.75" header="0.3" footer="0.3"/>
  <pageSetup orientation="portrait" horizontalDpi="4294967294"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G26" sqref="G26"/>
    </sheetView>
  </sheetViews>
  <sheetFormatPr defaultRowHeight="15"/>
  <cols>
    <col min="3" max="3" width="32.85546875" customWidth="1"/>
    <col min="4" max="4" width="18" customWidth="1"/>
    <col min="5" max="5" width="15.5703125" customWidth="1"/>
    <col min="6" max="6" width="14.5703125" customWidth="1"/>
    <col min="7" max="7" width="16.140625" customWidth="1"/>
    <col min="8" max="8" width="18.140625" customWidth="1"/>
  </cols>
  <sheetData>
    <row r="1" spans="1:8">
      <c r="A1" t="s">
        <v>483</v>
      </c>
    </row>
    <row r="3" spans="1:8">
      <c r="F3" t="s">
        <v>484</v>
      </c>
    </row>
    <row r="4" spans="1:8" ht="60">
      <c r="C4" s="405" t="s">
        <v>122</v>
      </c>
      <c r="D4" s="411" t="s">
        <v>487</v>
      </c>
      <c r="E4" s="411" t="s">
        <v>488</v>
      </c>
      <c r="F4" s="411" t="s">
        <v>491</v>
      </c>
      <c r="G4" s="411" t="s">
        <v>489</v>
      </c>
      <c r="H4" s="411" t="s">
        <v>490</v>
      </c>
    </row>
    <row r="5" spans="1:8">
      <c r="C5" s="197" t="s">
        <v>418</v>
      </c>
      <c r="D5" s="406" t="s">
        <v>486</v>
      </c>
      <c r="E5" s="94">
        <f>'Town  Energy (C&amp;I and RES)'!D57</f>
        <v>93254</v>
      </c>
      <c r="F5" s="406"/>
      <c r="G5" s="406" t="s">
        <v>485</v>
      </c>
      <c r="H5" s="406"/>
    </row>
    <row r="6" spans="1:8">
      <c r="C6" s="197"/>
      <c r="D6" s="406"/>
      <c r="E6" s="406"/>
      <c r="F6" s="406"/>
      <c r="G6" s="406"/>
      <c r="H6" s="406"/>
    </row>
    <row r="7" spans="1:8">
      <c r="C7" s="325" t="s">
        <v>167</v>
      </c>
      <c r="D7" s="94">
        <f>'Town  Energy (C&amp;I and RES)'!E57</f>
        <v>2744993.9340480007</v>
      </c>
      <c r="E7" s="412">
        <f>D7/$E$5</f>
        <v>29.435669612542096</v>
      </c>
      <c r="F7" s="413">
        <v>41.35</v>
      </c>
      <c r="G7" s="413">
        <f>F7*D7</f>
        <v>113505499.17288484</v>
      </c>
      <c r="H7" s="414">
        <f>G7/$E$5</f>
        <v>1217.1649384786158</v>
      </c>
    </row>
    <row r="8" spans="1:8">
      <c r="C8" s="325" t="s">
        <v>423</v>
      </c>
      <c r="D8" s="94">
        <f>'Town  Energy (C&amp;I and RES)'!F57</f>
        <v>2330530.4921845612</v>
      </c>
      <c r="E8" s="412">
        <f t="shared" ref="E8:E12" si="0">D8/$E$5</f>
        <v>24.991212089396285</v>
      </c>
      <c r="F8" s="413">
        <f>21.7</f>
        <v>21.7</v>
      </c>
      <c r="G8" s="413">
        <f>F8*D8</f>
        <v>50572511.680404976</v>
      </c>
      <c r="H8" s="414">
        <f t="shared" ref="H8:H11" si="1">G8/$E$5</f>
        <v>542.30930233989932</v>
      </c>
    </row>
    <row r="9" spans="1:8">
      <c r="C9" s="325" t="s">
        <v>1</v>
      </c>
      <c r="D9" s="94">
        <f>'Town  Energy (C&amp;I and RES)'!H57</f>
        <v>4526016.9000000004</v>
      </c>
      <c r="E9" s="412">
        <f t="shared" si="0"/>
        <v>48.534292362794091</v>
      </c>
      <c r="F9" s="413">
        <v>20</v>
      </c>
      <c r="G9" s="413">
        <f>F9*D9</f>
        <v>90520338</v>
      </c>
      <c r="H9" s="414">
        <f t="shared" si="1"/>
        <v>970.68584725588175</v>
      </c>
    </row>
    <row r="10" spans="1:8">
      <c r="C10" s="325" t="s">
        <v>178</v>
      </c>
      <c r="D10" s="94">
        <f>'Town  Energy (C&amp;I and RES)'!I57</f>
        <v>661366.76129561872</v>
      </c>
      <c r="E10" s="412">
        <f t="shared" si="0"/>
        <v>7.0921007280719186</v>
      </c>
      <c r="F10" s="413">
        <f>(14.39+19.59)/2</f>
        <v>16.990000000000002</v>
      </c>
      <c r="G10" s="413">
        <f>F10*D10</f>
        <v>11236621.274412563</v>
      </c>
      <c r="H10" s="414">
        <f t="shared" si="1"/>
        <v>120.49479136994191</v>
      </c>
    </row>
    <row r="11" spans="1:8">
      <c r="C11" s="325" t="s">
        <v>131</v>
      </c>
      <c r="D11" s="94">
        <f>'Town  Energy (C&amp;I and RES)'!J57</f>
        <v>944809.65899374092</v>
      </c>
      <c r="E11" s="412">
        <f t="shared" si="0"/>
        <v>10.131572468674168</v>
      </c>
      <c r="F11" s="413">
        <v>33.159999999999997</v>
      </c>
      <c r="G11" s="413">
        <f>F11*D11</f>
        <v>31329888.292232446</v>
      </c>
      <c r="H11" s="414">
        <f t="shared" si="1"/>
        <v>335.96294306123542</v>
      </c>
    </row>
    <row r="12" spans="1:8">
      <c r="C12" s="325" t="s">
        <v>23</v>
      </c>
      <c r="D12" s="94">
        <f>SUM(D7:D11)</f>
        <v>11207717.746521922</v>
      </c>
      <c r="E12" s="412">
        <f t="shared" si="0"/>
        <v>120.18484726147857</v>
      </c>
      <c r="F12" s="406"/>
      <c r="G12" s="413">
        <f t="shared" ref="G12" si="2">SUM(G7:G11)</f>
        <v>297164858.41993481</v>
      </c>
      <c r="H12" s="414">
        <f>SUM(H7:H11)</f>
        <v>3186.6178225055746</v>
      </c>
    </row>
    <row r="13" spans="1:8">
      <c r="G13" s="408"/>
    </row>
    <row r="19" spans="3:7" ht="15.75" thickBot="1"/>
    <row r="20" spans="3:7" ht="30" customHeight="1" thickBot="1">
      <c r="C20" s="420"/>
      <c r="D20" s="548" t="s">
        <v>492</v>
      </c>
      <c r="E20" s="549"/>
      <c r="F20" s="548" t="s">
        <v>493</v>
      </c>
      <c r="G20" s="549"/>
    </row>
    <row r="21" spans="3:7" ht="15.75" thickBot="1">
      <c r="C21" s="415" t="s">
        <v>498</v>
      </c>
      <c r="D21" s="422" t="s">
        <v>494</v>
      </c>
      <c r="E21" s="416">
        <v>0.41</v>
      </c>
      <c r="F21" s="417">
        <v>169.05</v>
      </c>
      <c r="G21" s="425">
        <f>F21/$F$25</f>
        <v>0.27381839385791573</v>
      </c>
    </row>
    <row r="22" spans="3:7" ht="15.75" thickBot="1">
      <c r="C22" s="415" t="s">
        <v>499</v>
      </c>
      <c r="D22" s="417">
        <v>814.7</v>
      </c>
      <c r="E22" s="416">
        <v>0.33</v>
      </c>
      <c r="F22" s="417">
        <v>147.21</v>
      </c>
      <c r="G22" s="425">
        <f>F22/$F$25</f>
        <v>0.23844309825391172</v>
      </c>
    </row>
    <row r="23" spans="3:7" ht="15.75" thickBot="1">
      <c r="C23" s="415" t="s">
        <v>500</v>
      </c>
      <c r="D23" s="417">
        <v>431.4</v>
      </c>
      <c r="E23" s="416">
        <v>0.17</v>
      </c>
      <c r="F23" s="550">
        <v>301.12</v>
      </c>
      <c r="G23" s="425">
        <f>F23/$F$25</f>
        <v>0.48773850788817263</v>
      </c>
    </row>
    <row r="24" spans="3:7" ht="15.75" thickBot="1">
      <c r="C24" s="415" t="s">
        <v>501</v>
      </c>
      <c r="D24" s="417">
        <v>236.8</v>
      </c>
      <c r="E24" s="416">
        <v>0.09</v>
      </c>
      <c r="F24" s="551"/>
      <c r="G24" s="424"/>
    </row>
    <row r="25" spans="3:7" ht="15.75" thickBot="1">
      <c r="C25" s="421" t="s">
        <v>23</v>
      </c>
      <c r="D25" s="423">
        <v>2501.6999999999998</v>
      </c>
      <c r="E25" s="418">
        <v>1</v>
      </c>
      <c r="F25" s="419">
        <f>SUM(F21:F24)</f>
        <v>617.38</v>
      </c>
      <c r="G25" s="418">
        <f>F25/D25</f>
        <v>0.24678418675300798</v>
      </c>
    </row>
    <row r="28" spans="3:7">
      <c r="C28" s="409" t="s">
        <v>495</v>
      </c>
    </row>
    <row r="29" spans="3:7">
      <c r="C29" s="409" t="s">
        <v>496</v>
      </c>
    </row>
    <row r="30" spans="3:7">
      <c r="C30" s="409" t="s">
        <v>497</v>
      </c>
    </row>
  </sheetData>
  <mergeCells count="3">
    <mergeCell ref="D20:E20"/>
    <mergeCell ref="F20:G20"/>
    <mergeCell ref="F23:F24"/>
  </mergeCells>
  <hyperlinks>
    <hyperlink ref="D20" location="_ftn1" display="_ftn1"/>
    <hyperlink ref="F20" location="_ftn2" display="_ftn2"/>
    <hyperlink ref="D21" location="_ftn3" display="_ftn3"/>
    <hyperlink ref="C28" location="_ftnref1" display="_ftnref1"/>
    <hyperlink ref="C29" location="_ftnref2" display="_ftnref2"/>
    <hyperlink ref="C30" location="_ftnref3" display="_ftnref3"/>
  </hyperlinks>
  <pageMargins left="0.7" right="0.7" top="0.75" bottom="0.75" header="0.3" footer="0.3"/>
  <pageSetup orientation="portrait" horizontalDpi="4294967294"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25"/>
  <sheetViews>
    <sheetView workbookViewId="0">
      <selection activeCell="D30" sqref="D30"/>
    </sheetView>
  </sheetViews>
  <sheetFormatPr defaultRowHeight="15"/>
  <cols>
    <col min="2" max="2" width="17.85546875" customWidth="1"/>
    <col min="3" max="3" width="11.42578125" customWidth="1"/>
    <col min="4" max="6" width="13.28515625" bestFit="1" customWidth="1"/>
    <col min="7" max="7" width="10.5703125" bestFit="1" customWidth="1"/>
    <col min="8" max="8" width="11.5703125" bestFit="1" customWidth="1"/>
    <col min="9" max="9" width="13.28515625" bestFit="1" customWidth="1"/>
    <col min="10" max="15" width="9.42578125" bestFit="1" customWidth="1"/>
  </cols>
  <sheetData>
    <row r="3" spans="2:15">
      <c r="B3" s="92"/>
      <c r="C3" s="92"/>
      <c r="D3" s="438" t="s">
        <v>468</v>
      </c>
      <c r="E3" s="439"/>
      <c r="F3" s="439"/>
      <c r="G3" s="439"/>
      <c r="H3" s="439"/>
      <c r="I3" s="440"/>
      <c r="J3" s="441" t="s">
        <v>469</v>
      </c>
      <c r="K3" s="441"/>
      <c r="L3" s="441"/>
      <c r="M3" s="441"/>
      <c r="N3" s="441"/>
      <c r="O3" s="441"/>
    </row>
    <row r="4" spans="2:15" s="102" customFormat="1" ht="30">
      <c r="B4" s="325"/>
      <c r="C4" s="325" t="s">
        <v>184</v>
      </c>
      <c r="D4" s="325" t="s">
        <v>167</v>
      </c>
      <c r="E4" s="325" t="s">
        <v>107</v>
      </c>
      <c r="F4" s="325" t="s">
        <v>1</v>
      </c>
      <c r="G4" s="325" t="s">
        <v>178</v>
      </c>
      <c r="H4" s="325" t="s">
        <v>131</v>
      </c>
      <c r="I4" s="325" t="s">
        <v>23</v>
      </c>
      <c r="J4" s="325" t="s">
        <v>167</v>
      </c>
      <c r="K4" s="325" t="s">
        <v>107</v>
      </c>
      <c r="L4" s="325" t="s">
        <v>1</v>
      </c>
      <c r="M4" s="325" t="s">
        <v>178</v>
      </c>
      <c r="N4" s="325" t="s">
        <v>131</v>
      </c>
      <c r="O4" s="325" t="s">
        <v>23</v>
      </c>
    </row>
    <row r="5" spans="2:15">
      <c r="B5" s="92" t="s">
        <v>26</v>
      </c>
      <c r="C5" s="92">
        <v>571</v>
      </c>
      <c r="D5" s="211">
        <v>13877.941504</v>
      </c>
      <c r="E5" s="211">
        <v>27615.980312708551</v>
      </c>
      <c r="F5" s="211">
        <v>0</v>
      </c>
      <c r="G5" s="211">
        <v>1932.0040041948705</v>
      </c>
      <c r="H5" s="211">
        <v>3200.9533797311465</v>
      </c>
      <c r="I5" s="211">
        <v>47197.879200634561</v>
      </c>
      <c r="J5" s="211">
        <v>24.304626101576183</v>
      </c>
      <c r="K5" s="211">
        <v>48.364238726284675</v>
      </c>
      <c r="L5" s="211">
        <v>0</v>
      </c>
      <c r="M5" s="211">
        <v>3.3835446658404038</v>
      </c>
      <c r="N5" s="211">
        <v>5.6058728191438645</v>
      </c>
      <c r="O5" s="211">
        <v>81.658282312845131</v>
      </c>
    </row>
    <row r="6" spans="2:15">
      <c r="B6" s="92" t="s">
        <v>27</v>
      </c>
      <c r="C6" s="92">
        <v>5</v>
      </c>
      <c r="D6" s="211">
        <v>50.965043999999999</v>
      </c>
      <c r="E6" s="211">
        <v>241.82119363142337</v>
      </c>
      <c r="F6" s="211">
        <v>0</v>
      </c>
      <c r="G6" s="211">
        <v>16.917723329202019</v>
      </c>
      <c r="H6" s="211">
        <v>28.029364095719327</v>
      </c>
      <c r="I6" s="211">
        <v>342.73332505634471</v>
      </c>
      <c r="J6" s="211">
        <v>10.193008799999999</v>
      </c>
      <c r="K6" s="211">
        <v>48.364238726284675</v>
      </c>
      <c r="L6" s="211">
        <v>0</v>
      </c>
      <c r="M6" s="211">
        <v>3.3835446658404038</v>
      </c>
      <c r="N6" s="211">
        <v>5.6058728191438654</v>
      </c>
      <c r="O6" s="211">
        <v>67.546665011268942</v>
      </c>
    </row>
    <row r="7" spans="2:15">
      <c r="B7" s="92" t="s">
        <v>28</v>
      </c>
      <c r="C7" s="92">
        <v>16101</v>
      </c>
      <c r="D7" s="211">
        <v>292004.79793200002</v>
      </c>
      <c r="E7" s="211">
        <v>143610.35370388025</v>
      </c>
      <c r="F7" s="211">
        <v>923092</v>
      </c>
      <c r="G7" s="211">
        <v>10198.970349890362</v>
      </c>
      <c r="H7" s="211">
        <v>16897.702354847934</v>
      </c>
      <c r="I7" s="211">
        <v>1401904.8243406184</v>
      </c>
      <c r="J7" s="211">
        <v>18.135817522638348</v>
      </c>
      <c r="K7" s="211">
        <v>8.9193437490764698</v>
      </c>
      <c r="L7" s="211">
        <v>57.331345879137942</v>
      </c>
      <c r="M7" s="211">
        <v>0.63343707533012616</v>
      </c>
      <c r="N7" s="211">
        <v>1.0494815449256527</v>
      </c>
      <c r="O7" s="211">
        <v>86.069425771108541</v>
      </c>
    </row>
    <row r="8" spans="2:15">
      <c r="B8" s="92" t="s">
        <v>29</v>
      </c>
      <c r="C8" s="92">
        <v>1732</v>
      </c>
      <c r="D8" s="211">
        <v>52287.436252</v>
      </c>
      <c r="E8" s="211">
        <v>83766.861473925062</v>
      </c>
      <c r="F8" s="211">
        <v>0</v>
      </c>
      <c r="G8" s="211">
        <v>5860.2993612355795</v>
      </c>
      <c r="H8" s="211">
        <v>9709.3717227571724</v>
      </c>
      <c r="I8" s="211">
        <v>153355.9688099178</v>
      </c>
      <c r="J8" s="211">
        <v>30.189050953810622</v>
      </c>
      <c r="K8" s="211">
        <v>48.364238726284675</v>
      </c>
      <c r="L8" s="211">
        <v>0</v>
      </c>
      <c r="M8" s="211">
        <v>3.3835446658404038</v>
      </c>
      <c r="N8" s="211">
        <v>5.6058728191438636</v>
      </c>
      <c r="O8" s="211">
        <v>87.542707165079577</v>
      </c>
    </row>
    <row r="9" spans="2:15">
      <c r="B9" s="92" t="s">
        <v>30</v>
      </c>
      <c r="C9" s="92">
        <v>7051</v>
      </c>
      <c r="D9" s="211">
        <v>166150.98742799999</v>
      </c>
      <c r="E9" s="211">
        <v>143865.58537515491</v>
      </c>
      <c r="F9" s="211">
        <v>256964</v>
      </c>
      <c r="G9" s="211">
        <v>10217.096482028792</v>
      </c>
      <c r="H9" s="211">
        <v>16927.733816379059</v>
      </c>
      <c r="I9" s="211">
        <v>601176.40310156287</v>
      </c>
      <c r="J9" s="211">
        <v>23.564173511274994</v>
      </c>
      <c r="K9" s="211">
        <v>20.40357188698836</v>
      </c>
      <c r="L9" s="211">
        <v>36.443625017727982</v>
      </c>
      <c r="M9" s="211">
        <v>1.4490280076625714</v>
      </c>
      <c r="N9" s="211">
        <v>2.4007564623995261</v>
      </c>
      <c r="O9" s="211">
        <v>84.261154886053447</v>
      </c>
    </row>
    <row r="10" spans="2:15">
      <c r="B10" s="92" t="s">
        <v>31</v>
      </c>
      <c r="C10" s="92">
        <v>3231</v>
      </c>
      <c r="D10" s="211">
        <v>83804.561344000002</v>
      </c>
      <c r="E10" s="211">
        <v>41814.304031705862</v>
      </c>
      <c r="F10" s="211">
        <v>191937.43721279447</v>
      </c>
      <c r="G10" s="211">
        <v>2969.5828749229413</v>
      </c>
      <c r="H10" s="211">
        <v>4920.0189643693684</v>
      </c>
      <c r="I10" s="211">
        <v>328676.90442779264</v>
      </c>
      <c r="J10" s="211">
        <v>25.937654393067163</v>
      </c>
      <c r="K10" s="211">
        <v>12.941598276603486</v>
      </c>
      <c r="L10" s="211">
        <v>59.404963544659381</v>
      </c>
      <c r="M10" s="211">
        <v>0.91909095478890168</v>
      </c>
      <c r="N10" s="211">
        <v>1.522754244620665</v>
      </c>
      <c r="O10" s="211">
        <v>100.7260614137396</v>
      </c>
    </row>
    <row r="11" spans="2:15">
      <c r="B11" s="92" t="s">
        <v>32</v>
      </c>
      <c r="C11" s="92">
        <v>4638</v>
      </c>
      <c r="D11" s="211">
        <v>107188.45768000001</v>
      </c>
      <c r="E11" s="211">
        <v>74253.153573285206</v>
      </c>
      <c r="F11" s="211">
        <v>246958.76278720555</v>
      </c>
      <c r="G11" s="211">
        <v>5273.3364423106323</v>
      </c>
      <c r="H11" s="211">
        <v>8736.8887801596265</v>
      </c>
      <c r="I11" s="211">
        <v>447048.59926296101</v>
      </c>
      <c r="J11" s="211">
        <v>23.110922311341096</v>
      </c>
      <c r="K11" s="211">
        <v>16.00973556991919</v>
      </c>
      <c r="L11" s="211">
        <v>53.246822506943843</v>
      </c>
      <c r="M11" s="211">
        <v>1.1369850026542976</v>
      </c>
      <c r="N11" s="211">
        <v>1.8837621345751674</v>
      </c>
      <c r="O11" s="211">
        <v>95.388227525433592</v>
      </c>
    </row>
    <row r="12" spans="2:15">
      <c r="B12" s="92" t="s">
        <v>33</v>
      </c>
      <c r="C12" s="92">
        <v>1872</v>
      </c>
      <c r="D12" s="211">
        <v>46737.968379999998</v>
      </c>
      <c r="E12" s="211">
        <v>69678.24625798456</v>
      </c>
      <c r="F12" s="211">
        <v>12380.8</v>
      </c>
      <c r="G12" s="211">
        <v>4948.4340737915918</v>
      </c>
      <c r="H12" s="211">
        <v>8198.5889979979002</v>
      </c>
      <c r="I12" s="211">
        <v>143816.03770977404</v>
      </c>
      <c r="J12" s="211">
        <v>24.966863450854699</v>
      </c>
      <c r="K12" s="211">
        <v>37.221285394222519</v>
      </c>
      <c r="L12" s="211">
        <v>6.6136752136752133</v>
      </c>
      <c r="M12" s="211">
        <v>2.6433942701878159</v>
      </c>
      <c r="N12" s="211">
        <v>4.3795881399561436</v>
      </c>
      <c r="O12" s="211">
        <v>75.824806468896384</v>
      </c>
    </row>
    <row r="13" spans="2:15">
      <c r="B13" s="92" t="s">
        <v>34</v>
      </c>
      <c r="C13" s="92">
        <v>810</v>
      </c>
      <c r="D13" s="211">
        <v>19523.191040000002</v>
      </c>
      <c r="E13" s="211">
        <v>39175.033368290584</v>
      </c>
      <c r="F13" s="211">
        <v>0</v>
      </c>
      <c r="G13" s="211">
        <v>2740.6711793307268</v>
      </c>
      <c r="H13" s="211">
        <v>4540.7569835065306</v>
      </c>
      <c r="I13" s="211">
        <v>66789.652571127837</v>
      </c>
      <c r="J13" s="211">
        <v>24.102704987654324</v>
      </c>
      <c r="K13" s="211">
        <v>48.364238726284668</v>
      </c>
      <c r="L13" s="211">
        <v>0</v>
      </c>
      <c r="M13" s="211">
        <v>3.3835446658404034</v>
      </c>
      <c r="N13" s="211">
        <v>5.6058728191438645</v>
      </c>
      <c r="O13" s="211">
        <v>81.456361198923261</v>
      </c>
    </row>
    <row r="14" spans="2:15">
      <c r="B14" s="92" t="s">
        <v>35</v>
      </c>
      <c r="C14" s="92">
        <v>1916</v>
      </c>
      <c r="D14" s="211">
        <v>52031.061984</v>
      </c>
      <c r="E14" s="211">
        <v>58362.975498140906</v>
      </c>
      <c r="F14" s="211">
        <v>46431.199999999997</v>
      </c>
      <c r="G14" s="211">
        <v>4144.8422156544957</v>
      </c>
      <c r="H14" s="211">
        <v>6867.1942034512331</v>
      </c>
      <c r="I14" s="211">
        <v>169753.27390124663</v>
      </c>
      <c r="J14" s="211">
        <v>27.156086630480168</v>
      </c>
      <c r="K14" s="211">
        <v>30.460843161868947</v>
      </c>
      <c r="L14" s="211">
        <v>24.23340292275574</v>
      </c>
      <c r="M14" s="211">
        <v>2.1632788181912819</v>
      </c>
      <c r="N14" s="211">
        <v>3.5841305863524182</v>
      </c>
      <c r="O14" s="211">
        <v>87.597742119648558</v>
      </c>
    </row>
    <row r="15" spans="2:15">
      <c r="B15" s="92" t="s">
        <v>36</v>
      </c>
      <c r="C15" s="92">
        <v>4211</v>
      </c>
      <c r="D15" s="211">
        <v>111412.708164</v>
      </c>
      <c r="E15" s="211">
        <v>111068.31561635999</v>
      </c>
      <c r="F15" s="211">
        <v>112098.3</v>
      </c>
      <c r="G15" s="211">
        <v>7887.8885022404411</v>
      </c>
      <c r="H15" s="211">
        <v>13068.691009629132</v>
      </c>
      <c r="I15" s="211">
        <v>359746.90329222952</v>
      </c>
      <c r="J15" s="211">
        <v>26.457541715507006</v>
      </c>
      <c r="K15" s="211">
        <v>26.375757686145807</v>
      </c>
      <c r="L15" s="211">
        <v>26.6203514604607</v>
      </c>
      <c r="M15" s="211">
        <v>1.8731627884684021</v>
      </c>
      <c r="N15" s="211">
        <v>3.1034649749772338</v>
      </c>
      <c r="O15" s="211">
        <v>84.43027862555914</v>
      </c>
    </row>
    <row r="16" spans="2:15">
      <c r="B16" s="92" t="s">
        <v>37</v>
      </c>
      <c r="C16" s="92">
        <v>1708</v>
      </c>
      <c r="D16" s="211">
        <v>44935.770451999997</v>
      </c>
      <c r="E16" s="211">
        <v>82606.119744494223</v>
      </c>
      <c r="F16" s="211">
        <v>0</v>
      </c>
      <c r="G16" s="211">
        <v>5779.0942892554094</v>
      </c>
      <c r="H16" s="211">
        <v>9574.8307750977219</v>
      </c>
      <c r="I16" s="211">
        <v>144603.81526084733</v>
      </c>
      <c r="J16" s="211">
        <v>26.308999093676814</v>
      </c>
      <c r="K16" s="211">
        <v>48.364238726284675</v>
      </c>
      <c r="L16" s="211">
        <v>0</v>
      </c>
      <c r="M16" s="211">
        <v>3.3835446658404038</v>
      </c>
      <c r="N16" s="211">
        <v>5.6058728191438654</v>
      </c>
      <c r="O16" s="211">
        <v>83.662655304945758</v>
      </c>
    </row>
    <row r="17" spans="2:15">
      <c r="B17" s="92" t="s">
        <v>38</v>
      </c>
      <c r="C17" s="92">
        <v>2787</v>
      </c>
      <c r="D17" s="211">
        <v>83285.872516000003</v>
      </c>
      <c r="E17" s="211">
        <v>59043.593288206692</v>
      </c>
      <c r="F17" s="211">
        <v>128126.39999999999</v>
      </c>
      <c r="G17" s="211">
        <v>4193.1785680236444</v>
      </c>
      <c r="H17" s="211">
        <v>6947.2781008675738</v>
      </c>
      <c r="I17" s="211">
        <v>284383.32247309794</v>
      </c>
      <c r="J17" s="211">
        <v>29.883700221026196</v>
      </c>
      <c r="K17" s="211">
        <v>21.18535819454851</v>
      </c>
      <c r="L17" s="211">
        <v>45.972874058127019</v>
      </c>
      <c r="M17" s="211">
        <v>1.504549181206905</v>
      </c>
      <c r="N17" s="211">
        <v>2.4927442055499007</v>
      </c>
      <c r="O17" s="211">
        <v>101.03922586045853</v>
      </c>
    </row>
    <row r="18" spans="2:15">
      <c r="B18" s="92" t="s">
        <v>39</v>
      </c>
      <c r="C18" s="92">
        <v>7807</v>
      </c>
      <c r="D18" s="211">
        <v>174770.17369600001</v>
      </c>
      <c r="E18" s="211">
        <v>103794.21298503195</v>
      </c>
      <c r="F18" s="211">
        <v>451934.1</v>
      </c>
      <c r="G18" s="211">
        <v>7371.2937362951661</v>
      </c>
      <c r="H18" s="211">
        <v>12212.79435599199</v>
      </c>
      <c r="I18" s="211">
        <v>757889.57477331918</v>
      </c>
      <c r="J18" s="211">
        <v>22.386342218009482</v>
      </c>
      <c r="K18" s="211">
        <v>13.295018955428711</v>
      </c>
      <c r="L18" s="211">
        <v>57.888318175995899</v>
      </c>
      <c r="M18" s="211">
        <v>0.94419030822277006</v>
      </c>
      <c r="N18" s="211">
        <v>1.5643389722034058</v>
      </c>
      <c r="O18" s="211">
        <v>96.078208629860271</v>
      </c>
    </row>
    <row r="19" spans="2:15">
      <c r="B19" s="92" t="s">
        <v>40</v>
      </c>
      <c r="C19" s="92">
        <v>293</v>
      </c>
      <c r="D19" s="211">
        <v>7493.663004</v>
      </c>
      <c r="E19" s="211">
        <v>14170.721946801408</v>
      </c>
      <c r="F19" s="211">
        <v>0</v>
      </c>
      <c r="G19" s="211">
        <v>991.3785870912385</v>
      </c>
      <c r="H19" s="211">
        <v>1642.5207360091524</v>
      </c>
      <c r="I19" s="211">
        <v>24591.284273901801</v>
      </c>
      <c r="J19" s="211">
        <v>25.575641651877135</v>
      </c>
      <c r="K19" s="211">
        <v>48.364238726284668</v>
      </c>
      <c r="L19" s="211">
        <v>0</v>
      </c>
      <c r="M19" s="211">
        <v>3.3835446658404043</v>
      </c>
      <c r="N19" s="211">
        <v>5.6058728191438645</v>
      </c>
      <c r="O19" s="211">
        <v>82.929297863146076</v>
      </c>
    </row>
    <row r="20" spans="2:15">
      <c r="B20" s="92" t="s">
        <v>41</v>
      </c>
      <c r="C20" s="92">
        <v>1246</v>
      </c>
      <c r="D20" s="211">
        <v>33190.588259999997</v>
      </c>
      <c r="E20" s="211">
        <v>49727.637286681282</v>
      </c>
      <c r="F20" s="211">
        <v>7167.1</v>
      </c>
      <c r="G20" s="211">
        <v>3531.5747449709215</v>
      </c>
      <c r="H20" s="211">
        <v>5851.129754981409</v>
      </c>
      <c r="I20" s="211">
        <v>100714.0300466336</v>
      </c>
      <c r="J20" s="211">
        <v>26.637711284109148</v>
      </c>
      <c r="K20" s="211">
        <v>39.909821257368606</v>
      </c>
      <c r="L20" s="211">
        <v>5.7520866773675765</v>
      </c>
      <c r="M20" s="211">
        <v>2.8343296508594875</v>
      </c>
      <c r="N20" s="211">
        <v>4.6959307824890919</v>
      </c>
      <c r="O20" s="211">
        <v>79.829879652193895</v>
      </c>
    </row>
    <row r="21" spans="2:15">
      <c r="B21" s="92" t="s">
        <v>42</v>
      </c>
      <c r="C21" s="92">
        <v>823</v>
      </c>
      <c r="D21" s="211">
        <v>22896.61838</v>
      </c>
      <c r="E21" s="211">
        <v>39803.768471732292</v>
      </c>
      <c r="F21" s="211">
        <v>0</v>
      </c>
      <c r="G21" s="211">
        <v>2784.6572599866527</v>
      </c>
      <c r="H21" s="211">
        <v>4613.6333301554014</v>
      </c>
      <c r="I21" s="211">
        <v>70921.677441874344</v>
      </c>
      <c r="J21" s="211">
        <v>27.820921482381532</v>
      </c>
      <c r="K21" s="211">
        <v>48.364238726284682</v>
      </c>
      <c r="L21" s="211">
        <v>0</v>
      </c>
      <c r="M21" s="211">
        <v>3.3835446658404043</v>
      </c>
      <c r="N21" s="211">
        <v>5.6058728191438654</v>
      </c>
      <c r="O21" s="211">
        <v>85.174577693650491</v>
      </c>
    </row>
    <row r="22" spans="2:15">
      <c r="B22" s="92" t="s">
        <v>43</v>
      </c>
      <c r="C22" s="92">
        <v>3479</v>
      </c>
      <c r="D22" s="211">
        <v>87764.610432000001</v>
      </c>
      <c r="E22" s="211">
        <v>66062.464248260076</v>
      </c>
      <c r="F22" s="211">
        <v>150740.20000000001</v>
      </c>
      <c r="G22" s="211">
        <v>4691.6472018304903</v>
      </c>
      <c r="H22" s="211">
        <v>7773.1432929735893</v>
      </c>
      <c r="I22" s="211">
        <v>320511.06517506414</v>
      </c>
      <c r="J22" s="211">
        <v>25.226964769186548</v>
      </c>
      <c r="K22" s="211">
        <v>18.988923325168173</v>
      </c>
      <c r="L22" s="211">
        <v>43.328600172463354</v>
      </c>
      <c r="M22" s="211">
        <v>1.348562001101032</v>
      </c>
      <c r="N22" s="211">
        <v>2.2343039071496378</v>
      </c>
      <c r="O22" s="211">
        <v>91.127354175068746</v>
      </c>
    </row>
    <row r="23" spans="2:15">
      <c r="B23" s="92" t="s">
        <v>44</v>
      </c>
      <c r="C23" s="92">
        <v>2994</v>
      </c>
      <c r="D23" s="211">
        <v>55751.588671999998</v>
      </c>
      <c r="E23" s="211">
        <v>33180.117265706933</v>
      </c>
      <c r="F23" s="211">
        <v>160942.29999999999</v>
      </c>
      <c r="G23" s="211">
        <v>2356.3971779959957</v>
      </c>
      <c r="H23" s="211">
        <v>3904.0899990466196</v>
      </c>
      <c r="I23" s="211">
        <v>259128.49311474952</v>
      </c>
      <c r="J23" s="211">
        <v>18.621105100868402</v>
      </c>
      <c r="K23" s="211">
        <v>11.082203495560098</v>
      </c>
      <c r="L23" s="211">
        <v>53.754943219772876</v>
      </c>
      <c r="M23" s="211">
        <v>0.78703980560988496</v>
      </c>
      <c r="N23" s="211">
        <v>1.3039712755666732</v>
      </c>
      <c r="O23" s="211">
        <v>85.549262897377915</v>
      </c>
    </row>
    <row r="24" spans="2:15">
      <c r="B24" s="92" t="s">
        <v>23</v>
      </c>
      <c r="C24" s="92">
        <v>63275</v>
      </c>
      <c r="D24" s="211">
        <v>1455158.9621639999</v>
      </c>
      <c r="E24" s="211">
        <v>1241841.2656419817</v>
      </c>
      <c r="F24" s="211">
        <v>2688772.6</v>
      </c>
      <c r="G24" s="211">
        <v>87889.264774379146</v>
      </c>
      <c r="H24" s="211">
        <v>145615.34992204831</v>
      </c>
      <c r="I24" s="211">
        <v>5682552.4425024083</v>
      </c>
      <c r="J24" s="211">
        <v>22.997375933054126</v>
      </c>
      <c r="K24" s="211">
        <v>19.626096651789517</v>
      </c>
      <c r="L24" s="211">
        <v>42.493442907941528</v>
      </c>
      <c r="M24" s="211">
        <v>1.3890045796029893</v>
      </c>
      <c r="N24" s="211">
        <v>2.3013093626558403</v>
      </c>
      <c r="O24" s="211">
        <v>88.807229435043993</v>
      </c>
    </row>
    <row r="25" spans="2:15">
      <c r="B25" t="s">
        <v>185</v>
      </c>
      <c r="C25" t="s">
        <v>182</v>
      </c>
      <c r="D25" t="s">
        <v>182</v>
      </c>
      <c r="E25" t="s">
        <v>180</v>
      </c>
      <c r="F25" t="s">
        <v>181</v>
      </c>
      <c r="G25" t="s">
        <v>180</v>
      </c>
      <c r="H25" t="s">
        <v>180</v>
      </c>
    </row>
  </sheetData>
  <mergeCells count="2">
    <mergeCell ref="D3:I3"/>
    <mergeCell ref="J3:O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1"/>
  <sheetViews>
    <sheetView topLeftCell="C1" workbookViewId="0">
      <selection activeCell="O4" sqref="O4"/>
    </sheetView>
  </sheetViews>
  <sheetFormatPr defaultRowHeight="15"/>
  <cols>
    <col min="14" max="14" width="11.42578125" bestFit="1" customWidth="1"/>
    <col min="15" max="15" width="18.28515625" customWidth="1"/>
    <col min="17" max="17" width="14" customWidth="1"/>
  </cols>
  <sheetData>
    <row r="3" spans="1:19">
      <c r="A3" s="322" t="s">
        <v>341</v>
      </c>
      <c r="B3" s="322" t="s">
        <v>342</v>
      </c>
      <c r="C3" s="322" t="s">
        <v>343</v>
      </c>
      <c r="D3" s="322" t="s">
        <v>344</v>
      </c>
      <c r="E3" s="322" t="s">
        <v>345</v>
      </c>
      <c r="F3" s="322" t="s">
        <v>346</v>
      </c>
      <c r="G3" s="322" t="s">
        <v>347</v>
      </c>
      <c r="H3" s="322" t="s">
        <v>348</v>
      </c>
      <c r="I3" s="322" t="s">
        <v>349</v>
      </c>
      <c r="J3" s="322" t="s">
        <v>350</v>
      </c>
      <c r="K3" s="322" t="s">
        <v>351</v>
      </c>
      <c r="L3" s="322" t="s">
        <v>352</v>
      </c>
      <c r="M3" s="322" t="s">
        <v>353</v>
      </c>
      <c r="N3" s="322" t="s">
        <v>354</v>
      </c>
      <c r="O3" s="322" t="s">
        <v>355</v>
      </c>
      <c r="P3" s="322" t="s">
        <v>356</v>
      </c>
      <c r="Q3" s="322" t="s">
        <v>357</v>
      </c>
      <c r="R3" s="322" t="s">
        <v>358</v>
      </c>
      <c r="S3" s="322" t="s">
        <v>359</v>
      </c>
    </row>
    <row r="4" spans="1:19">
      <c r="A4" s="322" t="s">
        <v>360</v>
      </c>
      <c r="B4" s="322" t="s">
        <v>361</v>
      </c>
      <c r="C4" s="322" t="s">
        <v>362</v>
      </c>
      <c r="D4" s="322" t="s">
        <v>363</v>
      </c>
      <c r="E4" s="322" t="s">
        <v>364</v>
      </c>
      <c r="F4" s="322" t="s">
        <v>365</v>
      </c>
      <c r="G4" s="322" t="s">
        <v>366</v>
      </c>
      <c r="H4" s="322" t="s">
        <v>367</v>
      </c>
      <c r="I4" s="322" t="s">
        <v>368</v>
      </c>
      <c r="J4" s="322" t="s">
        <v>369</v>
      </c>
      <c r="K4" s="322" t="s">
        <v>370</v>
      </c>
      <c r="L4" s="322" t="s">
        <v>371</v>
      </c>
      <c r="M4" s="322" t="s">
        <v>372</v>
      </c>
      <c r="N4" s="322">
        <v>2</v>
      </c>
      <c r="O4" s="322">
        <v>0</v>
      </c>
      <c r="P4" s="322">
        <v>0</v>
      </c>
      <c r="Q4" s="322">
        <v>0</v>
      </c>
      <c r="R4" s="322">
        <v>0</v>
      </c>
      <c r="S4" s="322" t="s">
        <v>373</v>
      </c>
    </row>
    <row r="5" spans="1:19">
      <c r="A5" s="322" t="s">
        <v>360</v>
      </c>
      <c r="B5" s="322" t="s">
        <v>361</v>
      </c>
      <c r="C5" s="322" t="s">
        <v>362</v>
      </c>
      <c r="D5" s="322" t="s">
        <v>363</v>
      </c>
      <c r="E5" s="322" t="s">
        <v>364</v>
      </c>
      <c r="F5" s="322" t="s">
        <v>374</v>
      </c>
      <c r="G5" s="322" t="s">
        <v>375</v>
      </c>
      <c r="H5" s="322" t="s">
        <v>361</v>
      </c>
      <c r="I5" s="322" t="s">
        <v>376</v>
      </c>
      <c r="J5" s="322" t="s">
        <v>377</v>
      </c>
      <c r="K5" s="322" t="s">
        <v>378</v>
      </c>
      <c r="L5" s="322" t="s">
        <v>379</v>
      </c>
      <c r="M5" s="322" t="s">
        <v>380</v>
      </c>
      <c r="N5" s="322">
        <v>1490</v>
      </c>
      <c r="O5" s="322">
        <v>32372</v>
      </c>
      <c r="P5" s="322">
        <v>17295</v>
      </c>
      <c r="Q5" s="322">
        <v>1614633351</v>
      </c>
      <c r="R5" s="322">
        <v>49877</v>
      </c>
      <c r="S5" s="322"/>
    </row>
    <row r="6" spans="1:19">
      <c r="A6" s="322" t="s">
        <v>360</v>
      </c>
      <c r="B6" s="322" t="s">
        <v>361</v>
      </c>
      <c r="C6" s="322" t="s">
        <v>362</v>
      </c>
      <c r="D6" s="322" t="s">
        <v>363</v>
      </c>
      <c r="E6" s="322" t="s">
        <v>364</v>
      </c>
      <c r="F6" s="322" t="s">
        <v>381</v>
      </c>
      <c r="G6" s="322" t="s">
        <v>382</v>
      </c>
      <c r="H6" s="322" t="s">
        <v>361</v>
      </c>
      <c r="I6" s="322" t="s">
        <v>376</v>
      </c>
      <c r="J6" s="322" t="s">
        <v>377</v>
      </c>
      <c r="K6" s="322" t="s">
        <v>378</v>
      </c>
      <c r="L6" s="322" t="s">
        <v>379</v>
      </c>
      <c r="M6" s="322" t="s">
        <v>380</v>
      </c>
      <c r="N6" s="322">
        <v>116</v>
      </c>
      <c r="O6" s="322">
        <v>441</v>
      </c>
      <c r="P6" s="322">
        <v>224</v>
      </c>
      <c r="Q6" s="322">
        <v>19528273</v>
      </c>
      <c r="R6" s="322">
        <v>44257</v>
      </c>
      <c r="S6" s="322"/>
    </row>
    <row r="7" spans="1:19">
      <c r="A7" s="322" t="s">
        <v>360</v>
      </c>
      <c r="B7" s="322" t="s">
        <v>361</v>
      </c>
      <c r="C7" s="322" t="s">
        <v>362</v>
      </c>
      <c r="D7" s="322" t="s">
        <v>363</v>
      </c>
      <c r="E7" s="322" t="s">
        <v>364</v>
      </c>
      <c r="F7" s="322" t="s">
        <v>383</v>
      </c>
      <c r="G7" s="322" t="s">
        <v>384</v>
      </c>
      <c r="H7" s="322" t="s">
        <v>361</v>
      </c>
      <c r="I7" s="322" t="s">
        <v>376</v>
      </c>
      <c r="J7" s="322" t="s">
        <v>377</v>
      </c>
      <c r="K7" s="322" t="s">
        <v>378</v>
      </c>
      <c r="L7" s="322" t="s">
        <v>379</v>
      </c>
      <c r="M7" s="322" t="s">
        <v>380</v>
      </c>
      <c r="N7" s="322">
        <v>568</v>
      </c>
      <c r="O7" s="322">
        <v>8689</v>
      </c>
      <c r="P7" s="322">
        <v>3831</v>
      </c>
      <c r="Q7" s="322">
        <v>376992160</v>
      </c>
      <c r="R7" s="322">
        <v>43386</v>
      </c>
      <c r="S7" s="322"/>
    </row>
    <row r="8" spans="1:19">
      <c r="A8" s="322" t="s">
        <v>360</v>
      </c>
      <c r="B8" s="322" t="s">
        <v>361</v>
      </c>
      <c r="C8" s="322" t="s">
        <v>362</v>
      </c>
      <c r="D8" s="322" t="s">
        <v>363</v>
      </c>
      <c r="E8" s="322" t="s">
        <v>364</v>
      </c>
      <c r="F8" s="322" t="s">
        <v>385</v>
      </c>
      <c r="G8" s="322" t="s">
        <v>386</v>
      </c>
      <c r="H8" s="322" t="s">
        <v>361</v>
      </c>
      <c r="I8" s="322" t="s">
        <v>376</v>
      </c>
      <c r="J8" s="322" t="s">
        <v>377</v>
      </c>
      <c r="K8" s="322" t="s">
        <v>378</v>
      </c>
      <c r="L8" s="322" t="s">
        <v>379</v>
      </c>
      <c r="M8" s="322" t="s">
        <v>380</v>
      </c>
      <c r="N8" s="322">
        <v>122</v>
      </c>
      <c r="O8" s="322">
        <v>1114</v>
      </c>
      <c r="P8" s="322">
        <v>517</v>
      </c>
      <c r="Q8" s="322">
        <v>45710531</v>
      </c>
      <c r="R8" s="322">
        <v>41020</v>
      </c>
      <c r="S8" s="322"/>
    </row>
    <row r="9" spans="1:19">
      <c r="A9" s="322" t="s">
        <v>360</v>
      </c>
      <c r="B9" s="322" t="s">
        <v>361</v>
      </c>
      <c r="C9" s="322" t="s">
        <v>362</v>
      </c>
      <c r="D9" s="322" t="s">
        <v>363</v>
      </c>
      <c r="E9" s="322" t="s">
        <v>364</v>
      </c>
      <c r="F9" s="322" t="s">
        <v>387</v>
      </c>
      <c r="G9" s="322" t="s">
        <v>388</v>
      </c>
      <c r="H9" s="322" t="s">
        <v>361</v>
      </c>
      <c r="I9" s="322" t="s">
        <v>376</v>
      </c>
      <c r="J9" s="322" t="s">
        <v>377</v>
      </c>
      <c r="K9" s="322" t="s">
        <v>378</v>
      </c>
      <c r="L9" s="322" t="s">
        <v>379</v>
      </c>
      <c r="M9" s="322" t="s">
        <v>380</v>
      </c>
      <c r="N9" s="322">
        <v>39</v>
      </c>
      <c r="O9" s="322">
        <v>161</v>
      </c>
      <c r="P9" s="322">
        <v>82</v>
      </c>
      <c r="Q9" s="322">
        <v>4746724</v>
      </c>
      <c r="R9" s="322">
        <v>29452</v>
      </c>
      <c r="S9" s="322"/>
    </row>
    <row r="10" spans="1:19">
      <c r="A10" s="322" t="s">
        <v>360</v>
      </c>
      <c r="B10" s="322" t="s">
        <v>361</v>
      </c>
      <c r="C10" s="322" t="s">
        <v>362</v>
      </c>
      <c r="D10" s="322" t="s">
        <v>363</v>
      </c>
      <c r="E10" s="322" t="s">
        <v>364</v>
      </c>
      <c r="F10" s="322" t="s">
        <v>389</v>
      </c>
      <c r="G10" s="322" t="s">
        <v>390</v>
      </c>
      <c r="H10" s="322" t="s">
        <v>361</v>
      </c>
      <c r="I10" s="322" t="s">
        <v>376</v>
      </c>
      <c r="J10" s="322" t="s">
        <v>377</v>
      </c>
      <c r="K10" s="322" t="s">
        <v>378</v>
      </c>
      <c r="L10" s="322" t="s">
        <v>379</v>
      </c>
      <c r="M10" s="322" t="s">
        <v>380</v>
      </c>
      <c r="N10" s="322">
        <v>105</v>
      </c>
      <c r="O10" s="322">
        <v>693</v>
      </c>
      <c r="P10" s="322">
        <v>330</v>
      </c>
      <c r="Q10" s="322">
        <v>24137484</v>
      </c>
      <c r="R10" s="322">
        <v>34847</v>
      </c>
      <c r="S10" s="322"/>
    </row>
    <row r="11" spans="1:19">
      <c r="A11" s="322" t="s">
        <v>360</v>
      </c>
      <c r="B11" s="322" t="s">
        <v>361</v>
      </c>
      <c r="C11" s="322" t="s">
        <v>362</v>
      </c>
      <c r="D11" s="322" t="s">
        <v>363</v>
      </c>
      <c r="E11" s="322" t="s">
        <v>364</v>
      </c>
      <c r="F11" s="322" t="s">
        <v>391</v>
      </c>
      <c r="G11" s="322" t="s">
        <v>392</v>
      </c>
      <c r="H11" s="322" t="s">
        <v>361</v>
      </c>
      <c r="I11" s="322" t="s">
        <v>376</v>
      </c>
      <c r="J11" s="322" t="s">
        <v>377</v>
      </c>
      <c r="K11" s="322" t="s">
        <v>378</v>
      </c>
      <c r="L11" s="322" t="s">
        <v>379</v>
      </c>
      <c r="M11" s="322" t="s">
        <v>380</v>
      </c>
      <c r="N11" s="322">
        <v>212</v>
      </c>
      <c r="O11" s="322">
        <v>2346</v>
      </c>
      <c r="P11" s="322">
        <v>914</v>
      </c>
      <c r="Q11" s="322">
        <v>92552590</v>
      </c>
      <c r="R11" s="322">
        <v>39455</v>
      </c>
      <c r="S11" s="322"/>
    </row>
    <row r="12" spans="1:19">
      <c r="A12" s="322" t="s">
        <v>360</v>
      </c>
      <c r="B12" s="322" t="s">
        <v>361</v>
      </c>
      <c r="C12" s="322" t="s">
        <v>362</v>
      </c>
      <c r="D12" s="322" t="s">
        <v>363</v>
      </c>
      <c r="E12" s="322" t="s">
        <v>364</v>
      </c>
      <c r="F12" s="322" t="s">
        <v>393</v>
      </c>
      <c r="G12" s="322" t="s">
        <v>394</v>
      </c>
      <c r="H12" s="322" t="s">
        <v>361</v>
      </c>
      <c r="I12" s="322" t="s">
        <v>376</v>
      </c>
      <c r="J12" s="322" t="s">
        <v>377</v>
      </c>
      <c r="K12" s="322" t="s">
        <v>378</v>
      </c>
      <c r="L12" s="322" t="s">
        <v>379</v>
      </c>
      <c r="M12" s="322" t="s">
        <v>380</v>
      </c>
      <c r="N12" s="322">
        <v>127</v>
      </c>
      <c r="O12" s="322">
        <v>1203</v>
      </c>
      <c r="P12" s="322">
        <v>646</v>
      </c>
      <c r="Q12" s="322">
        <v>51757009</v>
      </c>
      <c r="R12" s="322">
        <v>43035</v>
      </c>
      <c r="S12" s="322"/>
    </row>
    <row r="13" spans="1:19">
      <c r="A13" s="322" t="s">
        <v>360</v>
      </c>
      <c r="B13" s="322" t="s">
        <v>361</v>
      </c>
      <c r="C13" s="322" t="s">
        <v>362</v>
      </c>
      <c r="D13" s="322" t="s">
        <v>363</v>
      </c>
      <c r="E13" s="322" t="s">
        <v>364</v>
      </c>
      <c r="F13" s="322" t="s">
        <v>395</v>
      </c>
      <c r="G13" s="322" t="s">
        <v>396</v>
      </c>
      <c r="H13" s="322" t="s">
        <v>361</v>
      </c>
      <c r="I13" s="322" t="s">
        <v>376</v>
      </c>
      <c r="J13" s="322" t="s">
        <v>377</v>
      </c>
      <c r="K13" s="322" t="s">
        <v>378</v>
      </c>
      <c r="L13" s="322" t="s">
        <v>379</v>
      </c>
      <c r="M13" s="322" t="s">
        <v>380</v>
      </c>
      <c r="N13" s="322">
        <v>11</v>
      </c>
      <c r="O13" s="322">
        <v>31</v>
      </c>
      <c r="P13" s="322">
        <v>5</v>
      </c>
      <c r="Q13" s="322">
        <v>914032</v>
      </c>
      <c r="R13" s="322">
        <v>29328</v>
      </c>
      <c r="S13" s="322"/>
    </row>
    <row r="14" spans="1:19">
      <c r="A14" s="322" t="s">
        <v>360</v>
      </c>
      <c r="B14" s="322" t="s">
        <v>361</v>
      </c>
      <c r="C14" s="322" t="s">
        <v>362</v>
      </c>
      <c r="D14" s="322" t="s">
        <v>363</v>
      </c>
      <c r="E14" s="322" t="s">
        <v>364</v>
      </c>
      <c r="F14" s="322" t="s">
        <v>397</v>
      </c>
      <c r="G14" s="322" t="s">
        <v>398</v>
      </c>
      <c r="H14" s="322" t="s">
        <v>361</v>
      </c>
      <c r="I14" s="322" t="s">
        <v>376</v>
      </c>
      <c r="J14" s="322" t="s">
        <v>377</v>
      </c>
      <c r="K14" s="322" t="s">
        <v>378</v>
      </c>
      <c r="L14" s="322" t="s">
        <v>379</v>
      </c>
      <c r="M14" s="322" t="s">
        <v>380</v>
      </c>
      <c r="N14" s="322">
        <v>1086</v>
      </c>
      <c r="O14" s="322">
        <v>18088</v>
      </c>
      <c r="P14" s="322">
        <v>8042</v>
      </c>
      <c r="Q14" s="322">
        <v>768006918</v>
      </c>
      <c r="R14" s="322">
        <v>42460</v>
      </c>
      <c r="S14" s="322"/>
    </row>
    <row r="15" spans="1:19">
      <c r="A15" s="322" t="s">
        <v>360</v>
      </c>
      <c r="B15" s="322" t="s">
        <v>361</v>
      </c>
      <c r="C15" s="322" t="s">
        <v>362</v>
      </c>
      <c r="D15" s="322" t="s">
        <v>363</v>
      </c>
      <c r="E15" s="322" t="s">
        <v>364</v>
      </c>
      <c r="F15" s="322" t="s">
        <v>399</v>
      </c>
      <c r="G15" s="322" t="s">
        <v>400</v>
      </c>
      <c r="H15" s="322" t="s">
        <v>361</v>
      </c>
      <c r="I15" s="322" t="s">
        <v>376</v>
      </c>
      <c r="J15" s="322" t="s">
        <v>377</v>
      </c>
      <c r="K15" s="322" t="s">
        <v>378</v>
      </c>
      <c r="L15" s="322" t="s">
        <v>379</v>
      </c>
      <c r="M15" s="322" t="s">
        <v>380</v>
      </c>
      <c r="N15" s="322">
        <v>316</v>
      </c>
      <c r="O15" s="322">
        <v>3145</v>
      </c>
      <c r="P15" s="322">
        <v>1815</v>
      </c>
      <c r="Q15" s="322">
        <v>105594490</v>
      </c>
      <c r="R15" s="322">
        <v>33581</v>
      </c>
      <c r="S15" s="322"/>
    </row>
    <row r="16" spans="1:19">
      <c r="A16" s="322" t="s">
        <v>360</v>
      </c>
      <c r="B16" s="322" t="s">
        <v>361</v>
      </c>
      <c r="C16" s="322" t="s">
        <v>362</v>
      </c>
      <c r="D16" s="322" t="s">
        <v>363</v>
      </c>
      <c r="E16" s="322" t="s">
        <v>364</v>
      </c>
      <c r="F16" s="322" t="s">
        <v>401</v>
      </c>
      <c r="G16" s="322" t="s">
        <v>402</v>
      </c>
      <c r="H16" s="322" t="s">
        <v>361</v>
      </c>
      <c r="I16" s="322" t="s">
        <v>376</v>
      </c>
      <c r="J16" s="322" t="s">
        <v>377</v>
      </c>
      <c r="K16" s="322" t="s">
        <v>378</v>
      </c>
      <c r="L16" s="322" t="s">
        <v>379</v>
      </c>
      <c r="M16" s="322" t="s">
        <v>380</v>
      </c>
      <c r="N16" s="322">
        <v>67</v>
      </c>
      <c r="O16" s="322">
        <v>261</v>
      </c>
      <c r="P16" s="322">
        <v>107</v>
      </c>
      <c r="Q16" s="322">
        <v>9720123</v>
      </c>
      <c r="R16" s="322">
        <v>37194</v>
      </c>
      <c r="S16" s="322"/>
    </row>
    <row r="17" spans="1:19">
      <c r="A17" s="322" t="s">
        <v>360</v>
      </c>
      <c r="B17" s="322" t="s">
        <v>361</v>
      </c>
      <c r="C17" s="322" t="s">
        <v>362</v>
      </c>
      <c r="D17" s="322" t="s">
        <v>363</v>
      </c>
      <c r="E17" s="322" t="s">
        <v>364</v>
      </c>
      <c r="F17" s="322" t="s">
        <v>403</v>
      </c>
      <c r="G17" s="322" t="s">
        <v>404</v>
      </c>
      <c r="H17" s="322" t="s">
        <v>361</v>
      </c>
      <c r="I17" s="322" t="s">
        <v>376</v>
      </c>
      <c r="J17" s="322" t="s">
        <v>377</v>
      </c>
      <c r="K17" s="322" t="s">
        <v>378</v>
      </c>
      <c r="L17" s="322" t="s">
        <v>379</v>
      </c>
      <c r="M17" s="322" t="s">
        <v>380</v>
      </c>
      <c r="N17" s="322">
        <v>746</v>
      </c>
      <c r="O17" s="322">
        <v>10639</v>
      </c>
      <c r="P17" s="322">
        <v>4133</v>
      </c>
      <c r="Q17" s="322">
        <v>445244778</v>
      </c>
      <c r="R17" s="322">
        <v>41851</v>
      </c>
      <c r="S17" s="322"/>
    </row>
    <row r="18" spans="1:19">
      <c r="A18" s="322" t="s">
        <v>360</v>
      </c>
      <c r="B18" s="322" t="s">
        <v>361</v>
      </c>
      <c r="C18" s="322" t="s">
        <v>362</v>
      </c>
      <c r="D18" s="322" t="s">
        <v>363</v>
      </c>
      <c r="E18" s="322" t="s">
        <v>364</v>
      </c>
      <c r="F18" s="322" t="s">
        <v>405</v>
      </c>
      <c r="G18" s="322" t="s">
        <v>406</v>
      </c>
      <c r="H18" s="322" t="s">
        <v>361</v>
      </c>
      <c r="I18" s="322" t="s">
        <v>376</v>
      </c>
      <c r="J18" s="322" t="s">
        <v>377</v>
      </c>
      <c r="K18" s="322" t="s">
        <v>378</v>
      </c>
      <c r="L18" s="322" t="s">
        <v>379</v>
      </c>
      <c r="M18" s="322" t="s">
        <v>380</v>
      </c>
      <c r="N18" s="322">
        <v>157</v>
      </c>
      <c r="O18" s="322">
        <v>2292</v>
      </c>
      <c r="P18" s="322">
        <v>1081</v>
      </c>
      <c r="Q18" s="322">
        <v>100050353</v>
      </c>
      <c r="R18" s="322">
        <v>43657</v>
      </c>
      <c r="S18" s="322"/>
    </row>
    <row r="19" spans="1:19">
      <c r="A19" s="322" t="s">
        <v>360</v>
      </c>
      <c r="B19" s="322" t="s">
        <v>361</v>
      </c>
      <c r="C19" s="322" t="s">
        <v>362</v>
      </c>
      <c r="D19" s="322" t="s">
        <v>363</v>
      </c>
      <c r="E19" s="322" t="s">
        <v>364</v>
      </c>
      <c r="F19" s="322" t="s">
        <v>407</v>
      </c>
      <c r="G19" s="322" t="s">
        <v>408</v>
      </c>
      <c r="H19" s="322" t="s">
        <v>361</v>
      </c>
      <c r="I19" s="322" t="s">
        <v>376</v>
      </c>
      <c r="J19" s="322" t="s">
        <v>377</v>
      </c>
      <c r="K19" s="322" t="s">
        <v>378</v>
      </c>
      <c r="L19" s="322" t="s">
        <v>379</v>
      </c>
      <c r="M19" s="322" t="s">
        <v>380</v>
      </c>
      <c r="N19" s="322">
        <v>31</v>
      </c>
      <c r="O19" s="322">
        <v>160</v>
      </c>
      <c r="P19" s="322">
        <v>67</v>
      </c>
      <c r="Q19" s="322">
        <v>4984578</v>
      </c>
      <c r="R19" s="322">
        <v>31137</v>
      </c>
      <c r="S19" s="322"/>
    </row>
    <row r="20" spans="1:19">
      <c r="A20" s="322" t="s">
        <v>360</v>
      </c>
      <c r="B20" s="322" t="s">
        <v>361</v>
      </c>
      <c r="C20" s="322" t="s">
        <v>362</v>
      </c>
      <c r="D20" s="322" t="s">
        <v>363</v>
      </c>
      <c r="E20" s="322" t="s">
        <v>364</v>
      </c>
      <c r="F20" s="322" t="s">
        <v>409</v>
      </c>
      <c r="G20" s="322" t="s">
        <v>410</v>
      </c>
      <c r="H20" s="322" t="s">
        <v>361</v>
      </c>
      <c r="I20" s="322" t="s">
        <v>376</v>
      </c>
      <c r="J20" s="322" t="s">
        <v>377</v>
      </c>
      <c r="K20" s="322" t="s">
        <v>378</v>
      </c>
      <c r="L20" s="322" t="s">
        <v>379</v>
      </c>
      <c r="M20" s="322" t="s">
        <v>380</v>
      </c>
      <c r="N20" s="322">
        <v>671</v>
      </c>
      <c r="O20" s="322">
        <v>11440</v>
      </c>
      <c r="P20" s="322">
        <v>4435</v>
      </c>
      <c r="Q20" s="322">
        <v>640572354</v>
      </c>
      <c r="R20" s="322">
        <v>55995</v>
      </c>
      <c r="S20" s="322"/>
    </row>
    <row r="21" spans="1:19">
      <c r="O21" s="322">
        <f>SUM(O4:O20)</f>
        <v>93075</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V53"/>
  <sheetViews>
    <sheetView zoomScale="70" zoomScaleNormal="70" workbookViewId="0">
      <selection activeCell="H36" sqref="H36"/>
    </sheetView>
  </sheetViews>
  <sheetFormatPr defaultRowHeight="12.75"/>
  <cols>
    <col min="1" max="1" width="9.140625" style="328"/>
    <col min="2" max="2" width="24.28515625" style="328" customWidth="1"/>
    <col min="3" max="3" width="13.28515625" style="328" customWidth="1"/>
    <col min="4" max="4" width="10.5703125" style="328" customWidth="1"/>
    <col min="5" max="5" width="11.85546875" style="328" customWidth="1"/>
    <col min="6" max="6" width="11.28515625" style="328" customWidth="1"/>
    <col min="7" max="7" width="13.42578125" style="328" bestFit="1" customWidth="1"/>
    <col min="8" max="11" width="12.85546875" style="328" bestFit="1" customWidth="1"/>
    <col min="12" max="12" width="11.28515625" style="328" bestFit="1" customWidth="1"/>
    <col min="13" max="22" width="12.7109375" style="328" bestFit="1" customWidth="1"/>
    <col min="23" max="16384" width="9.140625" style="328"/>
  </cols>
  <sheetData>
    <row r="5" spans="2:22">
      <c r="C5" s="553" t="s">
        <v>427</v>
      </c>
      <c r="D5" s="553"/>
      <c r="E5" s="553"/>
      <c r="F5" s="553"/>
      <c r="G5" s="553"/>
      <c r="H5" s="553"/>
      <c r="I5" s="553"/>
      <c r="J5" s="553"/>
      <c r="K5" s="553"/>
      <c r="L5" s="553"/>
      <c r="M5" s="552" t="s">
        <v>428</v>
      </c>
      <c r="N5" s="552"/>
      <c r="O5" s="552"/>
      <c r="P5" s="552"/>
      <c r="Q5" s="552"/>
      <c r="R5" s="554" t="s">
        <v>429</v>
      </c>
      <c r="S5" s="555"/>
      <c r="T5" s="555"/>
      <c r="U5" s="555"/>
      <c r="V5" s="555"/>
    </row>
    <row r="6" spans="2:22">
      <c r="C6" s="552" t="s">
        <v>419</v>
      </c>
      <c r="D6" s="552"/>
      <c r="E6" s="552"/>
      <c r="F6" s="552"/>
      <c r="G6" s="552"/>
      <c r="H6" s="552" t="s">
        <v>420</v>
      </c>
      <c r="I6" s="552"/>
      <c r="J6" s="552"/>
      <c r="K6" s="552"/>
      <c r="L6" s="552"/>
      <c r="M6" s="552" t="s">
        <v>419</v>
      </c>
      <c r="N6" s="552"/>
      <c r="O6" s="552"/>
      <c r="P6" s="552"/>
      <c r="Q6" s="552"/>
      <c r="R6" s="556" t="s">
        <v>419</v>
      </c>
      <c r="S6" s="557"/>
      <c r="T6" s="557"/>
      <c r="U6" s="557"/>
      <c r="V6" s="557"/>
    </row>
    <row r="7" spans="2:22">
      <c r="C7" s="329">
        <v>2005</v>
      </c>
      <c r="D7" s="329">
        <v>2006</v>
      </c>
      <c r="E7" s="329">
        <v>2007</v>
      </c>
      <c r="F7" s="329">
        <v>2008</v>
      </c>
      <c r="G7" s="329">
        <v>2009</v>
      </c>
      <c r="H7" s="329">
        <v>2005</v>
      </c>
      <c r="I7" s="329">
        <v>2006</v>
      </c>
      <c r="J7" s="329">
        <v>2007</v>
      </c>
      <c r="K7" s="329">
        <v>2008</v>
      </c>
      <c r="L7" s="329">
        <v>2009</v>
      </c>
      <c r="M7" s="329">
        <v>2005</v>
      </c>
      <c r="N7" s="329">
        <v>2006</v>
      </c>
      <c r="O7" s="329">
        <v>2007</v>
      </c>
      <c r="P7" s="329">
        <v>2008</v>
      </c>
      <c r="Q7" s="329">
        <v>2009</v>
      </c>
      <c r="R7" s="329">
        <v>2005</v>
      </c>
      <c r="S7" s="329">
        <v>2006</v>
      </c>
      <c r="T7" s="329">
        <v>2007</v>
      </c>
      <c r="U7" s="329">
        <v>2008</v>
      </c>
      <c r="V7" s="329">
        <v>2009</v>
      </c>
    </row>
    <row r="8" spans="2:22" ht="15">
      <c r="B8" s="330" t="str">
        <f>'2005 Usage and Savings'!$A$3</f>
        <v>BOLTON</v>
      </c>
      <c r="C8" s="331">
        <f>'2005 Usage and Savings'!$K3</f>
        <v>7310083</v>
      </c>
      <c r="D8" s="331">
        <f>'2006 Usage and Savings'!$K3</f>
        <v>7078735</v>
      </c>
      <c r="E8" s="331">
        <f>'2007 Usage and Savings'!$K3</f>
        <v>7386912</v>
      </c>
      <c r="F8" s="331">
        <f>'2008 Usage and Savings'!$K3</f>
        <v>7219328</v>
      </c>
      <c r="G8" s="331">
        <f>'2009 Usage and Savings'!$M3</f>
        <v>6835188</v>
      </c>
      <c r="H8" s="332">
        <f>C8/1000</f>
        <v>7310.0829999999996</v>
      </c>
      <c r="I8" s="332">
        <f t="shared" ref="I8:L24" si="0">D8/1000</f>
        <v>7078.7349999999997</v>
      </c>
      <c r="J8" s="332">
        <f t="shared" si="0"/>
        <v>7386.9120000000003</v>
      </c>
      <c r="K8" s="332">
        <f t="shared" si="0"/>
        <v>7219.3280000000004</v>
      </c>
      <c r="L8" s="332">
        <f t="shared" si="0"/>
        <v>6835.1880000000001</v>
      </c>
      <c r="M8" s="331">
        <f>'2005 Usage and Savings'!$B3</f>
        <v>3224724</v>
      </c>
      <c r="N8" s="331">
        <f>'2006 Usage and Savings'!$B3</f>
        <v>3028324</v>
      </c>
      <c r="O8" s="331">
        <f>'2007 Usage and Savings'!$B3</f>
        <v>3203583</v>
      </c>
      <c r="P8" s="331">
        <f>'2008 Usage and Savings'!$B3</f>
        <v>3176166</v>
      </c>
      <c r="Q8" s="331">
        <f>'2009 Usage and Savings'!B3</f>
        <v>2767796</v>
      </c>
      <c r="R8" s="331">
        <f>'2005 Usage and Savings'!$C3</f>
        <v>4085359</v>
      </c>
      <c r="S8" s="331">
        <f>'2006 Usage and Savings'!$C3</f>
        <v>4050411</v>
      </c>
      <c r="T8" s="331">
        <f>'2007 Usage and Savings'!$C3</f>
        <v>4183329</v>
      </c>
      <c r="U8" s="331">
        <f>'2008 Usage and Savings'!$C3</f>
        <v>4043162</v>
      </c>
      <c r="V8" s="331">
        <f>'2009 Usage and Savings'!C3</f>
        <v>4067392</v>
      </c>
    </row>
    <row r="9" spans="2:22" ht="15">
      <c r="B9" s="330" t="str">
        <f>'2005 Usage and Savings'!$A$4</f>
        <v>BUELS GORE</v>
      </c>
      <c r="C9" s="331">
        <f>'2005 Usage and Savings'!$K4</f>
        <v>15455</v>
      </c>
      <c r="D9" s="331">
        <f>'2006 Usage and Savings'!$K4</f>
        <v>15130</v>
      </c>
      <c r="E9" s="331">
        <f>'2007 Usage and Savings'!$K4</f>
        <v>13834</v>
      </c>
      <c r="F9" s="331">
        <f>'2008 Usage and Savings'!$K4</f>
        <v>14176</v>
      </c>
      <c r="G9" s="331">
        <f>'2009 Usage and Savings'!$M4</f>
        <v>14937</v>
      </c>
      <c r="H9" s="332">
        <f t="shared" ref="H9:L26" si="1">C9/1000</f>
        <v>15.455</v>
      </c>
      <c r="I9" s="332">
        <f t="shared" si="0"/>
        <v>15.13</v>
      </c>
      <c r="J9" s="332">
        <f t="shared" si="0"/>
        <v>13.834</v>
      </c>
      <c r="K9" s="332">
        <f t="shared" si="0"/>
        <v>14.176</v>
      </c>
      <c r="L9" s="332">
        <f t="shared" si="0"/>
        <v>14.936999999999999</v>
      </c>
      <c r="M9" s="331">
        <f>'2005 Usage and Savings'!$B4</f>
        <v>0</v>
      </c>
      <c r="N9" s="331">
        <f>'2006 Usage and Savings'!$B4</f>
        <v>0</v>
      </c>
      <c r="O9" s="331">
        <f>'2007 Usage and Savings'!$B4</f>
        <v>0</v>
      </c>
      <c r="P9" s="331">
        <f>'2008 Usage and Savings'!$B4</f>
        <v>0</v>
      </c>
      <c r="Q9" s="331">
        <f>'2009 Usage and Savings'!B4</f>
        <v>0</v>
      </c>
      <c r="R9" s="331">
        <f>'2005 Usage and Savings'!$C4</f>
        <v>15455</v>
      </c>
      <c r="S9" s="331">
        <f>'2006 Usage and Savings'!$C4</f>
        <v>15130</v>
      </c>
      <c r="T9" s="331">
        <f>'2007 Usage and Savings'!$C4</f>
        <v>13834</v>
      </c>
      <c r="U9" s="331">
        <f>'2008 Usage and Savings'!$C4</f>
        <v>14176</v>
      </c>
      <c r="V9" s="331">
        <f>'2009 Usage and Savings'!C4</f>
        <v>14937</v>
      </c>
    </row>
    <row r="10" spans="2:22" ht="15">
      <c r="B10" s="330" t="str">
        <f>'2005 Usage and Savings'!$A$5</f>
        <v>BURLINGTON</v>
      </c>
      <c r="C10" s="331">
        <f>'2005 Usage and Savings'!$K5</f>
        <v>367566748</v>
      </c>
      <c r="D10" s="331">
        <f>'2006 Usage and Savings'!$K5</f>
        <v>358672930</v>
      </c>
      <c r="E10" s="331">
        <f>'2007 Usage and Savings'!$K5</f>
        <v>363949504</v>
      </c>
      <c r="F10" s="331">
        <f>'2008 Usage and Savings'!$K5</f>
        <v>359215939</v>
      </c>
      <c r="G10" s="331">
        <f>'2009 Usage and Savings'!$M5</f>
        <v>346632030</v>
      </c>
      <c r="H10" s="332">
        <f t="shared" si="1"/>
        <v>367566.74800000002</v>
      </c>
      <c r="I10" s="332">
        <f t="shared" si="0"/>
        <v>358672.93</v>
      </c>
      <c r="J10" s="332">
        <f t="shared" si="0"/>
        <v>363949.50400000002</v>
      </c>
      <c r="K10" s="332">
        <f t="shared" si="0"/>
        <v>359215.93900000001</v>
      </c>
      <c r="L10" s="332">
        <f t="shared" si="0"/>
        <v>346632.03</v>
      </c>
      <c r="M10" s="331">
        <f>'2005 Usage and Savings'!$B5</f>
        <v>272623162</v>
      </c>
      <c r="N10" s="331">
        <f>'2006 Usage and Savings'!$B5</f>
        <v>267879622</v>
      </c>
      <c r="O10" s="331">
        <f>'2007 Usage and Savings'!$B5</f>
        <v>273686052</v>
      </c>
      <c r="P10" s="331">
        <f>'2008 Usage and Savings'!$B5</f>
        <v>271513034</v>
      </c>
      <c r="Q10" s="331">
        <f>'2009 Usage and Savings'!B5</f>
        <v>261050319</v>
      </c>
      <c r="R10" s="331">
        <f>'2005 Usage and Savings'!$C5</f>
        <v>94943586</v>
      </c>
      <c r="S10" s="331">
        <f>'2006 Usage and Savings'!$C5</f>
        <v>90793308</v>
      </c>
      <c r="T10" s="331">
        <f>'2007 Usage and Savings'!$C5</f>
        <v>90263452</v>
      </c>
      <c r="U10" s="331">
        <f>'2008 Usage and Savings'!$C5</f>
        <v>87702905</v>
      </c>
      <c r="V10" s="331">
        <f>'2009 Usage and Savings'!C5</f>
        <v>85581711</v>
      </c>
    </row>
    <row r="11" spans="2:22" ht="15">
      <c r="B11" s="330" t="str">
        <f>'2005 Usage and Savings'!$A$6</f>
        <v>CHARLOTTE</v>
      </c>
      <c r="C11" s="331">
        <f>'2005 Usage and Savings'!$K6</f>
        <v>18987203</v>
      </c>
      <c r="D11" s="331">
        <f>'2006 Usage and Savings'!$K6</f>
        <v>18717492</v>
      </c>
      <c r="E11" s="331">
        <f>'2007 Usage and Savings'!$K6</f>
        <v>18691072</v>
      </c>
      <c r="F11" s="331">
        <f>'2008 Usage and Savings'!$K6</f>
        <v>18599065</v>
      </c>
      <c r="G11" s="331">
        <f>'2009 Usage and Savings'!$M6</f>
        <v>18336612</v>
      </c>
      <c r="H11" s="332">
        <f t="shared" si="1"/>
        <v>18987.203000000001</v>
      </c>
      <c r="I11" s="332">
        <f t="shared" si="0"/>
        <v>18717.491999999998</v>
      </c>
      <c r="J11" s="332">
        <f t="shared" si="0"/>
        <v>18691.072</v>
      </c>
      <c r="K11" s="332">
        <f t="shared" si="0"/>
        <v>18599.064999999999</v>
      </c>
      <c r="L11" s="332">
        <f t="shared" si="0"/>
        <v>18336.612000000001</v>
      </c>
      <c r="M11" s="331">
        <f>'2005 Usage and Savings'!$B6</f>
        <v>3072023</v>
      </c>
      <c r="N11" s="331">
        <f>'2006 Usage and Savings'!$B6</f>
        <v>3092542</v>
      </c>
      <c r="O11" s="331">
        <f>'2007 Usage and Savings'!$B6</f>
        <v>3051445</v>
      </c>
      <c r="P11" s="331">
        <f>'2008 Usage and Savings'!$B6</f>
        <v>3064393</v>
      </c>
      <c r="Q11" s="331">
        <f>'2009 Usage and Savings'!B6</f>
        <v>3012041</v>
      </c>
      <c r="R11" s="331">
        <f>'2005 Usage and Savings'!$C6</f>
        <v>15915180</v>
      </c>
      <c r="S11" s="331">
        <f>'2006 Usage and Savings'!$C6</f>
        <v>15624950</v>
      </c>
      <c r="T11" s="331">
        <f>'2007 Usage and Savings'!$C6</f>
        <v>15639627</v>
      </c>
      <c r="U11" s="331">
        <f>'2008 Usage and Savings'!$C6</f>
        <v>15534672</v>
      </c>
      <c r="V11" s="331">
        <f>'2009 Usage and Savings'!C6</f>
        <v>15324571</v>
      </c>
    </row>
    <row r="12" spans="2:22" ht="15">
      <c r="B12" s="410" t="s">
        <v>30</v>
      </c>
      <c r="C12" s="331">
        <f>'2005 Usage and Savings'!$K7</f>
        <v>133142303</v>
      </c>
      <c r="D12" s="331">
        <f>'2006 Usage and Savings'!$K7</f>
        <v>133796167</v>
      </c>
      <c r="E12" s="331">
        <f>'2007 Usage and Savings'!$K7</f>
        <v>134582513</v>
      </c>
      <c r="F12" s="331">
        <f>'2008 Usage and Savings'!$K7</f>
        <v>131986321</v>
      </c>
      <c r="G12" s="331">
        <f>'2009 Usage and Savings'!$M7</f>
        <v>128822444</v>
      </c>
      <c r="H12" s="332">
        <f t="shared" ref="H12" si="2">C12/1000</f>
        <v>133142.30300000001</v>
      </c>
      <c r="I12" s="332">
        <f t="shared" ref="I12" si="3">D12/1000</f>
        <v>133796.16699999999</v>
      </c>
      <c r="J12" s="332">
        <f t="shared" ref="J12" si="4">E12/1000</f>
        <v>134582.51300000001</v>
      </c>
      <c r="K12" s="332">
        <f t="shared" ref="K12" si="5">F12/1000</f>
        <v>131986.321</v>
      </c>
      <c r="L12" s="332">
        <f t="shared" ref="L12" si="6">G12/1000</f>
        <v>128822.444</v>
      </c>
      <c r="M12" s="331">
        <f>'2005 Usage and Savings'!$B7</f>
        <v>82075028</v>
      </c>
      <c r="N12" s="331">
        <f>'2006 Usage and Savings'!$B7</f>
        <v>83916155</v>
      </c>
      <c r="O12" s="331">
        <f>'2007 Usage and Savings'!$B7</f>
        <v>84631558</v>
      </c>
      <c r="P12" s="331">
        <f>'2008 Usage and Savings'!$B7</f>
        <v>82438074</v>
      </c>
      <c r="Q12" s="331">
        <f>'2009 Usage and Savings'!B7</f>
        <v>80126375</v>
      </c>
      <c r="R12" s="331">
        <f>'2005 Usage and Savings'!$C7</f>
        <v>51067275</v>
      </c>
      <c r="S12" s="331">
        <f>'2006 Usage and Savings'!$C7</f>
        <v>49880012</v>
      </c>
      <c r="T12" s="331">
        <f>'2007 Usage and Savings'!$C7</f>
        <v>49950955</v>
      </c>
      <c r="U12" s="331">
        <f>'2008 Usage and Savings'!$C7</f>
        <v>49548247</v>
      </c>
      <c r="V12" s="331">
        <f>'2009 Usage and Savings'!C7</f>
        <v>48696069</v>
      </c>
    </row>
    <row r="13" spans="2:22" ht="15">
      <c r="B13" s="330" t="str">
        <f>'2005 Usage and Savings'!$A$8</f>
        <v>ESSEX</v>
      </c>
      <c r="C13" s="331">
        <f>'2005 Usage and Savings'!$K8</f>
        <v>60097231</v>
      </c>
      <c r="D13" s="331">
        <f>'2006 Usage and Savings'!$K8</f>
        <v>57878645</v>
      </c>
      <c r="E13" s="331">
        <f>'2007 Usage and Savings'!$K8</f>
        <v>60006224</v>
      </c>
      <c r="F13" s="331">
        <f>'2008 Usage and Savings'!$K8</f>
        <v>60899165</v>
      </c>
      <c r="G13" s="331">
        <f>'2009 Usage and Savings'!$M8</f>
        <v>62022772</v>
      </c>
      <c r="H13" s="332">
        <f t="shared" si="1"/>
        <v>60097.231</v>
      </c>
      <c r="I13" s="332">
        <f t="shared" si="0"/>
        <v>57878.644999999997</v>
      </c>
      <c r="J13" s="332">
        <f t="shared" si="0"/>
        <v>60006.224000000002</v>
      </c>
      <c r="K13" s="332">
        <f t="shared" si="0"/>
        <v>60899.165000000001</v>
      </c>
      <c r="L13" s="332">
        <f t="shared" si="0"/>
        <v>62022.771999999997</v>
      </c>
      <c r="M13" s="331">
        <f>'2005 Usage and Savings'!$B8</f>
        <v>34709221</v>
      </c>
      <c r="N13" s="331">
        <f>'2006 Usage and Savings'!$B8</f>
        <v>32493922</v>
      </c>
      <c r="O13" s="331">
        <f>'2007 Usage and Savings'!$B8</f>
        <v>34368478</v>
      </c>
      <c r="P13" s="331">
        <f>'2008 Usage and Savings'!$B8</f>
        <v>36002999</v>
      </c>
      <c r="Q13" s="331">
        <f>'2009 Usage and Savings'!B8</f>
        <v>37461060</v>
      </c>
      <c r="R13" s="331">
        <f>'2005 Usage and Savings'!$C8</f>
        <v>25388010</v>
      </c>
      <c r="S13" s="331">
        <f>'2006 Usage and Savings'!$C8</f>
        <v>25384723</v>
      </c>
      <c r="T13" s="331">
        <f>'2007 Usage and Savings'!$C8</f>
        <v>25637746</v>
      </c>
      <c r="U13" s="331">
        <f>'2008 Usage and Savings'!$C8</f>
        <v>24896166</v>
      </c>
      <c r="V13" s="331">
        <f>'2009 Usage and Savings'!C8</f>
        <v>24561712</v>
      </c>
    </row>
    <row r="14" spans="2:22" ht="15">
      <c r="B14" s="330" t="str">
        <f>'2005 Usage and Savings'!$A$9</f>
        <v>ESSEX JUNCTION</v>
      </c>
      <c r="C14" s="331">
        <f>'2005 Usage and Savings'!$K9</f>
        <v>58200016</v>
      </c>
      <c r="D14" s="331">
        <f>'2006 Usage and Savings'!$K9</f>
        <v>56661494</v>
      </c>
      <c r="E14" s="331">
        <f>'2007 Usage and Savings'!$K9</f>
        <v>57398335</v>
      </c>
      <c r="F14" s="331">
        <f>'2008 Usage and Savings'!$K9</f>
        <v>58233508</v>
      </c>
      <c r="G14" s="331">
        <f>'2009 Usage and Savings'!$M9</f>
        <v>59490405</v>
      </c>
      <c r="H14" s="332">
        <f t="shared" si="1"/>
        <v>58200.016000000003</v>
      </c>
      <c r="I14" s="332">
        <f t="shared" si="0"/>
        <v>56661.493999999999</v>
      </c>
      <c r="J14" s="332">
        <f t="shared" si="0"/>
        <v>57398.334999999999</v>
      </c>
      <c r="K14" s="332">
        <f t="shared" si="0"/>
        <v>58233.508000000002</v>
      </c>
      <c r="L14" s="332">
        <f t="shared" si="0"/>
        <v>59490.404999999999</v>
      </c>
      <c r="M14" s="331">
        <f>'2005 Usage and Savings'!$B9</f>
        <v>25359762</v>
      </c>
      <c r="N14" s="331">
        <f>'2006 Usage and Savings'!$B9</f>
        <v>24540784</v>
      </c>
      <c r="O14" s="331">
        <f>'2007 Usage and Savings'!$B9</f>
        <v>25174695</v>
      </c>
      <c r="P14" s="331">
        <f>'2008 Usage and Savings'!$B9</f>
        <v>26371598</v>
      </c>
      <c r="Q14" s="331">
        <f>'2009 Usage and Savings'!B9</f>
        <v>28075265</v>
      </c>
      <c r="R14" s="331">
        <f>'2005 Usage and Savings'!$C9</f>
        <v>32840254</v>
      </c>
      <c r="S14" s="331">
        <f>'2006 Usage and Savings'!$C9</f>
        <v>32120710</v>
      </c>
      <c r="T14" s="331">
        <f>'2007 Usage and Savings'!$C9</f>
        <v>32223640</v>
      </c>
      <c r="U14" s="331">
        <f>'2008 Usage and Savings'!$C9</f>
        <v>31861910</v>
      </c>
      <c r="V14" s="331">
        <f>'2009 Usage and Savings'!C9</f>
        <v>31415140</v>
      </c>
    </row>
    <row r="15" spans="2:22" ht="15">
      <c r="B15" s="330" t="str">
        <f>'2005 Usage and Savings'!$A$10</f>
        <v>HINESBURG</v>
      </c>
      <c r="C15" s="331">
        <f>'2005 Usage and Savings'!$K10</f>
        <v>31511334</v>
      </c>
      <c r="D15" s="331">
        <f>'2006 Usage and Savings'!$K10</f>
        <v>34369623</v>
      </c>
      <c r="E15" s="331">
        <f>'2007 Usage and Savings'!$K10</f>
        <v>33853147</v>
      </c>
      <c r="F15" s="331">
        <f>'2008 Usage and Savings'!$K10</f>
        <v>30733678</v>
      </c>
      <c r="G15" s="331">
        <f>'2009 Usage and Savings'!$M10</f>
        <v>20954586</v>
      </c>
      <c r="H15" s="332">
        <f t="shared" si="1"/>
        <v>31511.333999999999</v>
      </c>
      <c r="I15" s="332">
        <f t="shared" si="0"/>
        <v>34369.623</v>
      </c>
      <c r="J15" s="332">
        <f t="shared" si="0"/>
        <v>33853.146999999997</v>
      </c>
      <c r="K15" s="332">
        <f t="shared" si="0"/>
        <v>30733.678</v>
      </c>
      <c r="L15" s="332">
        <f t="shared" si="0"/>
        <v>20954.585999999999</v>
      </c>
      <c r="M15" s="331">
        <f>'2005 Usage and Savings'!$B10</f>
        <v>18233874</v>
      </c>
      <c r="N15" s="331">
        <f>'2006 Usage and Savings'!$B10</f>
        <v>20591352</v>
      </c>
      <c r="O15" s="331">
        <f>'2007 Usage and Savings'!$B10</f>
        <v>20059344</v>
      </c>
      <c r="P15" s="331">
        <f>'2008 Usage and Savings'!$B10</f>
        <v>17000715</v>
      </c>
      <c r="Q15" s="331">
        <f>'2009 Usage and Savings'!B10</f>
        <v>7256471</v>
      </c>
      <c r="R15" s="331">
        <f>'2005 Usage and Savings'!$C10</f>
        <v>13277460</v>
      </c>
      <c r="S15" s="331">
        <f>'2006 Usage and Savings'!$C10</f>
        <v>13778271</v>
      </c>
      <c r="T15" s="331">
        <f>'2007 Usage and Savings'!$C10</f>
        <v>13793803</v>
      </c>
      <c r="U15" s="331">
        <f>'2008 Usage and Savings'!$C10</f>
        <v>13732963</v>
      </c>
      <c r="V15" s="331">
        <f>'2009 Usage and Savings'!C10</f>
        <v>13698115</v>
      </c>
    </row>
    <row r="16" spans="2:22" ht="15">
      <c r="B16" s="330" t="str">
        <f>'2005 Usage and Savings'!$A$11</f>
        <v>HUNTINGTON</v>
      </c>
      <c r="C16" s="331">
        <f>'2005 Usage and Savings'!$K11</f>
        <v>6212146</v>
      </c>
      <c r="D16" s="331">
        <f>'2006 Usage and Savings'!$K11</f>
        <v>6342788</v>
      </c>
      <c r="E16" s="331">
        <f>'2007 Usage and Savings'!$K11</f>
        <v>6371356</v>
      </c>
      <c r="F16" s="331">
        <f>'2008 Usage and Savings'!$K11</f>
        <v>6307556</v>
      </c>
      <c r="G16" s="331">
        <f>'2009 Usage and Savings'!$M11</f>
        <v>6316197</v>
      </c>
      <c r="H16" s="332">
        <f t="shared" si="1"/>
        <v>6212.1459999999997</v>
      </c>
      <c r="I16" s="332">
        <f t="shared" si="0"/>
        <v>6342.7879999999996</v>
      </c>
      <c r="J16" s="332">
        <f t="shared" si="0"/>
        <v>6371.3559999999998</v>
      </c>
      <c r="K16" s="332">
        <f t="shared" si="0"/>
        <v>6307.5559999999996</v>
      </c>
      <c r="L16" s="332">
        <f t="shared" si="0"/>
        <v>6316.1970000000001</v>
      </c>
      <c r="M16" s="331">
        <f>'2005 Usage and Savings'!$B11</f>
        <v>576060</v>
      </c>
      <c r="N16" s="331">
        <f>'2006 Usage and Savings'!$B11</f>
        <v>573491</v>
      </c>
      <c r="O16" s="331">
        <f>'2007 Usage and Savings'!$B11</f>
        <v>566540</v>
      </c>
      <c r="P16" s="331">
        <f>'2008 Usage and Savings'!$B11</f>
        <v>571214</v>
      </c>
      <c r="Q16" s="331">
        <f>'2009 Usage and Savings'!B11</f>
        <v>594277</v>
      </c>
      <c r="R16" s="331">
        <f>'2005 Usage and Savings'!$C11</f>
        <v>5636086</v>
      </c>
      <c r="S16" s="331">
        <f>'2006 Usage and Savings'!$C11</f>
        <v>5769297</v>
      </c>
      <c r="T16" s="331">
        <f>'2007 Usage and Savings'!$C11</f>
        <v>5804816</v>
      </c>
      <c r="U16" s="331">
        <f>'2008 Usage and Savings'!$C11</f>
        <v>5736342</v>
      </c>
      <c r="V16" s="331">
        <f>'2009 Usage and Savings'!C11</f>
        <v>5721920</v>
      </c>
    </row>
    <row r="17" spans="2:22" ht="15">
      <c r="B17" s="330" t="str">
        <f>'2005 Usage and Savings'!$A$12</f>
        <v>JERICHO</v>
      </c>
      <c r="C17" s="331">
        <f>'2005 Usage and Savings'!$K12</f>
        <v>20879759</v>
      </c>
      <c r="D17" s="331">
        <f>'2006 Usage and Savings'!$K12</f>
        <v>20769513</v>
      </c>
      <c r="E17" s="331">
        <f>'2007 Usage and Savings'!$K12</f>
        <v>21297624</v>
      </c>
      <c r="F17" s="331">
        <f>'2008 Usage and Savings'!$K12</f>
        <v>20983630</v>
      </c>
      <c r="G17" s="331">
        <f>'2009 Usage and Savings'!$M12</f>
        <v>20952191</v>
      </c>
      <c r="H17" s="332">
        <f t="shared" si="1"/>
        <v>20879.758999999998</v>
      </c>
      <c r="I17" s="332">
        <f t="shared" si="0"/>
        <v>20769.512999999999</v>
      </c>
      <c r="J17" s="332">
        <f t="shared" si="0"/>
        <v>21297.624</v>
      </c>
      <c r="K17" s="332">
        <f t="shared" si="0"/>
        <v>20983.63</v>
      </c>
      <c r="L17" s="332">
        <f t="shared" si="0"/>
        <v>20952.190999999999</v>
      </c>
      <c r="M17" s="331">
        <f>'2005 Usage and Savings'!$B12</f>
        <v>5285212</v>
      </c>
      <c r="N17" s="331">
        <f>'2006 Usage and Savings'!$B12</f>
        <v>5127987</v>
      </c>
      <c r="O17" s="331">
        <f>'2007 Usage and Savings'!$B12</f>
        <v>5426862</v>
      </c>
      <c r="P17" s="331">
        <f>'2008 Usage and Savings'!$B12</f>
        <v>5691281</v>
      </c>
      <c r="Q17" s="331">
        <f>'2009 Usage and Savings'!B12</f>
        <v>5702759</v>
      </c>
      <c r="R17" s="331">
        <f>'2005 Usage and Savings'!$C12</f>
        <v>15594547</v>
      </c>
      <c r="S17" s="331">
        <f>'2006 Usage and Savings'!$C12</f>
        <v>15641526</v>
      </c>
      <c r="T17" s="331">
        <f>'2007 Usage and Savings'!$C12</f>
        <v>15870762</v>
      </c>
      <c r="U17" s="331">
        <f>'2008 Usage and Savings'!$C12</f>
        <v>15292349</v>
      </c>
      <c r="V17" s="331">
        <f>'2009 Usage and Savings'!C12</f>
        <v>15249432</v>
      </c>
    </row>
    <row r="18" spans="2:22" ht="15">
      <c r="B18" s="330" t="str">
        <f>'2005 Usage and Savings'!$A$13</f>
        <v>MILTON</v>
      </c>
      <c r="C18" s="331">
        <f>'2005 Usage and Savings'!$K13</f>
        <v>65371133</v>
      </c>
      <c r="D18" s="331">
        <f>'2006 Usage and Savings'!$K13</f>
        <v>65667024</v>
      </c>
      <c r="E18" s="331">
        <f>'2007 Usage and Savings'!$K13</f>
        <v>67086231</v>
      </c>
      <c r="F18" s="331">
        <f>'2008 Usage and Savings'!$K13</f>
        <v>65909246</v>
      </c>
      <c r="G18" s="331">
        <f>'2009 Usage and Savings'!$M13</f>
        <v>64678915</v>
      </c>
      <c r="H18" s="332">
        <f t="shared" si="1"/>
        <v>65371.133000000002</v>
      </c>
      <c r="I18" s="332">
        <f t="shared" si="0"/>
        <v>65667.024000000005</v>
      </c>
      <c r="J18" s="332">
        <f t="shared" si="0"/>
        <v>67086.231</v>
      </c>
      <c r="K18" s="332">
        <f t="shared" si="0"/>
        <v>65909.245999999999</v>
      </c>
      <c r="L18" s="332">
        <f t="shared" si="0"/>
        <v>64678.915000000001</v>
      </c>
      <c r="M18" s="331">
        <f>'2005 Usage and Savings'!$B13</f>
        <v>33326640</v>
      </c>
      <c r="N18" s="331">
        <f>'2006 Usage and Savings'!$B13</f>
        <v>34135731</v>
      </c>
      <c r="O18" s="331">
        <f>'2007 Usage and Savings'!$B13</f>
        <v>34666093</v>
      </c>
      <c r="P18" s="331">
        <f>'2008 Usage and Savings'!$B13</f>
        <v>33288411</v>
      </c>
      <c r="Q18" s="331">
        <f>'2009 Usage and Savings'!B13</f>
        <v>32025718</v>
      </c>
      <c r="R18" s="331">
        <f>'2005 Usage and Savings'!$C13</f>
        <v>32044493</v>
      </c>
      <c r="S18" s="331">
        <f>'2006 Usage and Savings'!$C13</f>
        <v>31531293</v>
      </c>
      <c r="T18" s="331">
        <f>'2007 Usage and Savings'!$C13</f>
        <v>32420138</v>
      </c>
      <c r="U18" s="331">
        <f>'2008 Usage and Savings'!$C13</f>
        <v>32620835</v>
      </c>
      <c r="V18" s="331">
        <f>'2009 Usage and Savings'!C13</f>
        <v>32653197</v>
      </c>
    </row>
    <row r="19" spans="2:22" ht="15">
      <c r="B19" s="330" t="str">
        <f>'2005 Usage and Savings'!$A$14</f>
        <v>RICHMOND</v>
      </c>
      <c r="C19" s="331">
        <f>'2005 Usage and Savings'!$K14</f>
        <v>18482973</v>
      </c>
      <c r="D19" s="331">
        <f>'2006 Usage and Savings'!$K14</f>
        <v>18582871</v>
      </c>
      <c r="E19" s="331">
        <f>'2007 Usage and Savings'!$K14</f>
        <v>18932556</v>
      </c>
      <c r="F19" s="331">
        <f>'2008 Usage and Savings'!$K14</f>
        <v>18727094</v>
      </c>
      <c r="G19" s="331">
        <f>'2009 Usage and Savings'!$M14</f>
        <v>18555321</v>
      </c>
      <c r="H19" s="332">
        <f t="shared" si="1"/>
        <v>18482.973000000002</v>
      </c>
      <c r="I19" s="332">
        <f t="shared" si="0"/>
        <v>18582.870999999999</v>
      </c>
      <c r="J19" s="332">
        <f t="shared" si="0"/>
        <v>18932.556</v>
      </c>
      <c r="K19" s="332">
        <f t="shared" si="0"/>
        <v>18727.094000000001</v>
      </c>
      <c r="L19" s="332">
        <f t="shared" si="0"/>
        <v>18555.321</v>
      </c>
      <c r="M19" s="331">
        <f>'2005 Usage and Savings'!$B14</f>
        <v>5148763</v>
      </c>
      <c r="N19" s="331">
        <f>'2006 Usage and Savings'!$B14</f>
        <v>5278880</v>
      </c>
      <c r="O19" s="331">
        <f>'2007 Usage and Savings'!$B14</f>
        <v>5460624</v>
      </c>
      <c r="P19" s="331">
        <f>'2008 Usage and Savings'!$B14</f>
        <v>5463691</v>
      </c>
      <c r="Q19" s="331">
        <f>'2009 Usage and Savings'!B14</f>
        <v>5385400</v>
      </c>
      <c r="R19" s="331">
        <f>'2005 Usage and Savings'!$C14</f>
        <v>13334210</v>
      </c>
      <c r="S19" s="331">
        <f>'2006 Usage and Savings'!$C14</f>
        <v>13303991</v>
      </c>
      <c r="T19" s="331">
        <f>'2007 Usage and Savings'!$C14</f>
        <v>13471932</v>
      </c>
      <c r="U19" s="331">
        <f>'2008 Usage and Savings'!$C14</f>
        <v>13263403</v>
      </c>
      <c r="V19" s="331">
        <f>'2009 Usage and Savings'!C14</f>
        <v>13169921</v>
      </c>
    </row>
    <row r="20" spans="2:22" ht="15">
      <c r="B20" s="330" t="str">
        <f>'2005 Usage and Savings'!$A$15</f>
        <v>SHELBURNE</v>
      </c>
      <c r="C20" s="331">
        <f>'2005 Usage and Savings'!$K15</f>
        <v>52668294</v>
      </c>
      <c r="D20" s="331">
        <f>'2006 Usage and Savings'!$K15</f>
        <v>52971688</v>
      </c>
      <c r="E20" s="331">
        <f>'2007 Usage and Savings'!$K15</f>
        <v>54735857</v>
      </c>
      <c r="F20" s="331">
        <f>'2008 Usage and Savings'!$K15</f>
        <v>52744469</v>
      </c>
      <c r="G20" s="331">
        <f>'2009 Usage and Savings'!$M15</f>
        <v>50190387</v>
      </c>
      <c r="H20" s="332">
        <f t="shared" si="1"/>
        <v>52668.294000000002</v>
      </c>
      <c r="I20" s="332">
        <f t="shared" si="0"/>
        <v>52971.688000000002</v>
      </c>
      <c r="J20" s="332">
        <f t="shared" si="0"/>
        <v>54735.857000000004</v>
      </c>
      <c r="K20" s="332">
        <f t="shared" si="0"/>
        <v>52744.468999999997</v>
      </c>
      <c r="L20" s="332">
        <f t="shared" si="0"/>
        <v>50190.387000000002</v>
      </c>
      <c r="M20" s="331">
        <f>'2005 Usage and Savings'!$B15</f>
        <v>27278229</v>
      </c>
      <c r="N20" s="331">
        <f>'2006 Usage and Savings'!$B15</f>
        <v>27514420</v>
      </c>
      <c r="O20" s="331">
        <f>'2007 Usage and Savings'!$B15</f>
        <v>28976016</v>
      </c>
      <c r="P20" s="331">
        <f>'2008 Usage and Savings'!$B15</f>
        <v>27985102</v>
      </c>
      <c r="Q20" s="331">
        <f>'2009 Usage and Savings'!B15</f>
        <v>25780694</v>
      </c>
      <c r="R20" s="331">
        <f>'2005 Usage and Savings'!$C15</f>
        <v>25390065</v>
      </c>
      <c r="S20" s="331">
        <f>'2006 Usage and Savings'!$C15</f>
        <v>25457268</v>
      </c>
      <c r="T20" s="331">
        <f>'2007 Usage and Savings'!$C15</f>
        <v>25759841</v>
      </c>
      <c r="U20" s="331">
        <f>'2008 Usage and Savings'!$C15</f>
        <v>24759367</v>
      </c>
      <c r="V20" s="331">
        <f>'2009 Usage and Savings'!C15</f>
        <v>24409693</v>
      </c>
    </row>
    <row r="21" spans="2:22" ht="15">
      <c r="B21" s="330" t="str">
        <f>'2005 Usage and Savings'!$A$16</f>
        <v>SOUTH BURLINGTON</v>
      </c>
      <c r="C21" s="331">
        <f>'2005 Usage and Savings'!$K16</f>
        <v>218684492</v>
      </c>
      <c r="D21" s="331">
        <f>'2006 Usage and Savings'!$K16</f>
        <v>224830917</v>
      </c>
      <c r="E21" s="331">
        <f>'2007 Usage and Savings'!$K16</f>
        <v>234701776</v>
      </c>
      <c r="F21" s="331">
        <f>'2008 Usage and Savings'!$K16</f>
        <v>232463737</v>
      </c>
      <c r="G21" s="331">
        <f>'2009 Usage and Savings'!$M16</f>
        <v>225346388</v>
      </c>
      <c r="H21" s="332">
        <f t="shared" si="1"/>
        <v>218684.492</v>
      </c>
      <c r="I21" s="332">
        <f t="shared" si="0"/>
        <v>224830.91699999999</v>
      </c>
      <c r="J21" s="332">
        <f t="shared" si="0"/>
        <v>234701.77600000001</v>
      </c>
      <c r="K21" s="332">
        <f t="shared" si="0"/>
        <v>232463.73699999999</v>
      </c>
      <c r="L21" s="332">
        <f t="shared" si="0"/>
        <v>225346.38800000001</v>
      </c>
      <c r="M21" s="331">
        <f>'2005 Usage and Savings'!$B16</f>
        <v>165900101</v>
      </c>
      <c r="N21" s="331">
        <f>'2006 Usage and Savings'!$B16</f>
        <v>172756420</v>
      </c>
      <c r="O21" s="331">
        <f>'2007 Usage and Savings'!$B16</f>
        <v>182494485</v>
      </c>
      <c r="P21" s="331">
        <f>'2008 Usage and Savings'!$B16</f>
        <v>180472304</v>
      </c>
      <c r="Q21" s="331">
        <f>'2009 Usage and Savings'!B16</f>
        <v>174124180</v>
      </c>
      <c r="R21" s="331">
        <f>'2005 Usage and Savings'!$C16</f>
        <v>52784391</v>
      </c>
      <c r="S21" s="331">
        <f>'2006 Usage and Savings'!$C16</f>
        <v>52074497</v>
      </c>
      <c r="T21" s="331">
        <f>'2007 Usage and Savings'!$C16</f>
        <v>52207291</v>
      </c>
      <c r="U21" s="331">
        <f>'2008 Usage and Savings'!$C16</f>
        <v>51991433</v>
      </c>
      <c r="V21" s="331">
        <f>'2009 Usage and Savings'!C16</f>
        <v>51222208</v>
      </c>
    </row>
    <row r="22" spans="2:22" ht="15">
      <c r="B22" s="330" t="str">
        <f>'2005 Usage and Savings'!$A$17</f>
        <v>ST. GEORGE</v>
      </c>
      <c r="C22" s="331">
        <f>'2005 Usage and Savings'!$K17</f>
        <v>2322360</v>
      </c>
      <c r="D22" s="331">
        <f>'2006 Usage and Savings'!$K17</f>
        <v>2554457</v>
      </c>
      <c r="E22" s="331">
        <f>'2007 Usage and Savings'!$K17</f>
        <v>2650548</v>
      </c>
      <c r="F22" s="331">
        <f>'2008 Usage and Savings'!$K17</f>
        <v>2822029</v>
      </c>
      <c r="G22" s="331">
        <f>'2009 Usage and Savings'!$M17</f>
        <v>2663170</v>
      </c>
      <c r="H22" s="332">
        <f t="shared" si="1"/>
        <v>2322.36</v>
      </c>
      <c r="I22" s="332">
        <f t="shared" si="0"/>
        <v>2554.4569999999999</v>
      </c>
      <c r="J22" s="332">
        <f t="shared" si="0"/>
        <v>2650.5479999999998</v>
      </c>
      <c r="K22" s="332">
        <f t="shared" si="0"/>
        <v>2822.029</v>
      </c>
      <c r="L22" s="332">
        <f t="shared" si="0"/>
        <v>2663.17</v>
      </c>
      <c r="M22" s="331">
        <f>'2005 Usage and Savings'!$B17</f>
        <v>444383</v>
      </c>
      <c r="N22" s="331">
        <f>'2006 Usage and Savings'!$B17</f>
        <v>477688</v>
      </c>
      <c r="O22" s="331">
        <f>'2007 Usage and Savings'!$B17</f>
        <v>497010</v>
      </c>
      <c r="P22" s="331">
        <f>'2008 Usage and Savings'!$B17</f>
        <v>564795</v>
      </c>
      <c r="Q22" s="331">
        <f>'2009 Usage and Savings'!B17</f>
        <v>466903</v>
      </c>
      <c r="R22" s="331">
        <f>'2005 Usage and Savings'!$C17</f>
        <v>1877977</v>
      </c>
      <c r="S22" s="331">
        <f>'2006 Usage and Savings'!$C17</f>
        <v>2076769</v>
      </c>
      <c r="T22" s="331">
        <f>'2007 Usage and Savings'!$C17</f>
        <v>2153538</v>
      </c>
      <c r="U22" s="331">
        <f>'2008 Usage and Savings'!$C17</f>
        <v>2257234</v>
      </c>
      <c r="V22" s="331">
        <f>'2009 Usage and Savings'!C17</f>
        <v>2196267</v>
      </c>
    </row>
    <row r="23" spans="2:22" ht="15">
      <c r="B23" s="330" t="str">
        <f>'2005 Usage and Savings'!$A$18</f>
        <v>UNDERHILL</v>
      </c>
      <c r="C23" s="331">
        <f>'2005 Usage and Savings'!$K18</f>
        <v>10995245</v>
      </c>
      <c r="D23" s="331">
        <f>'2006 Usage and Savings'!$K18</f>
        <v>11148190</v>
      </c>
      <c r="E23" s="331">
        <f>'2007 Usage and Savings'!$K18</f>
        <v>11263008</v>
      </c>
      <c r="F23" s="331">
        <f>'2008 Usage and Savings'!$K18</f>
        <v>11000928</v>
      </c>
      <c r="G23" s="331">
        <f>'2009 Usage and Savings'!$M18</f>
        <v>10961741</v>
      </c>
      <c r="H23" s="332">
        <f t="shared" si="1"/>
        <v>10995.245000000001</v>
      </c>
      <c r="I23" s="332">
        <f t="shared" si="0"/>
        <v>11148.19</v>
      </c>
      <c r="J23" s="332">
        <f t="shared" si="0"/>
        <v>11263.008</v>
      </c>
      <c r="K23" s="332">
        <f t="shared" si="0"/>
        <v>11000.928</v>
      </c>
      <c r="L23" s="332">
        <f t="shared" si="0"/>
        <v>10961.741</v>
      </c>
      <c r="M23" s="331">
        <f>'2005 Usage and Savings'!$B18</f>
        <v>1164848</v>
      </c>
      <c r="N23" s="331">
        <f>'2006 Usage and Savings'!$B18</f>
        <v>1187137</v>
      </c>
      <c r="O23" s="331">
        <f>'2007 Usage and Savings'!$B18</f>
        <v>1221673</v>
      </c>
      <c r="P23" s="331">
        <f>'2008 Usage and Savings'!$B18</f>
        <v>1220919</v>
      </c>
      <c r="Q23" s="331">
        <f>'2009 Usage and Savings'!B18</f>
        <v>1234136</v>
      </c>
      <c r="R23" s="331">
        <f>'2005 Usage and Savings'!$C18</f>
        <v>9830397</v>
      </c>
      <c r="S23" s="331">
        <f>'2006 Usage and Savings'!$C18</f>
        <v>9961053</v>
      </c>
      <c r="T23" s="331">
        <f>'2007 Usage and Savings'!$C18</f>
        <v>10041335</v>
      </c>
      <c r="U23" s="331">
        <f>'2008 Usage and Savings'!$C18</f>
        <v>9780009</v>
      </c>
      <c r="V23" s="331">
        <f>'2009 Usage and Savings'!C18</f>
        <v>9727605</v>
      </c>
    </row>
    <row r="24" spans="2:22" ht="15">
      <c r="B24" s="330" t="str">
        <f>'2005 Usage and Savings'!$A$19</f>
        <v>WESTFORD</v>
      </c>
      <c r="C24" s="331">
        <f>'2005 Usage and Savings'!$K19</f>
        <v>7075148</v>
      </c>
      <c r="D24" s="331">
        <f>'2006 Usage and Savings'!$K19</f>
        <v>7207364</v>
      </c>
      <c r="E24" s="331">
        <f>'2007 Usage and Savings'!$K19</f>
        <v>7294503</v>
      </c>
      <c r="F24" s="331">
        <f>'2008 Usage and Savings'!$K19</f>
        <v>7200766</v>
      </c>
      <c r="G24" s="331">
        <f>'2009 Usage and Savings'!$M19</f>
        <v>7320268</v>
      </c>
      <c r="H24" s="332">
        <f t="shared" si="1"/>
        <v>7075.1480000000001</v>
      </c>
      <c r="I24" s="332">
        <f t="shared" si="0"/>
        <v>7207.3639999999996</v>
      </c>
      <c r="J24" s="332">
        <f t="shared" si="0"/>
        <v>7294.5029999999997</v>
      </c>
      <c r="K24" s="332">
        <f t="shared" si="0"/>
        <v>7200.7659999999996</v>
      </c>
      <c r="L24" s="332">
        <f t="shared" si="0"/>
        <v>7320.268</v>
      </c>
      <c r="M24" s="331">
        <f>'2005 Usage and Savings'!$B19</f>
        <v>606775</v>
      </c>
      <c r="N24" s="331">
        <f>'2006 Usage and Savings'!$B19</f>
        <v>638594</v>
      </c>
      <c r="O24" s="331">
        <f>'2007 Usage and Savings'!$B19</f>
        <v>669327</v>
      </c>
      <c r="P24" s="331">
        <f>'2008 Usage and Savings'!$B19</f>
        <v>625859</v>
      </c>
      <c r="Q24" s="331">
        <f>'2009 Usage and Savings'!B19</f>
        <v>609653</v>
      </c>
      <c r="R24" s="331">
        <f>'2005 Usage and Savings'!$C19</f>
        <v>6468373</v>
      </c>
      <c r="S24" s="331">
        <f>'2006 Usage and Savings'!$C19</f>
        <v>6568770</v>
      </c>
      <c r="T24" s="331">
        <f>'2007 Usage and Savings'!$C19</f>
        <v>6625176</v>
      </c>
      <c r="U24" s="331">
        <f>'2008 Usage and Savings'!$C19</f>
        <v>6574907</v>
      </c>
      <c r="V24" s="331">
        <f>'2009 Usage and Savings'!C19</f>
        <v>6710615</v>
      </c>
    </row>
    <row r="25" spans="2:22" ht="15">
      <c r="B25" s="330" t="str">
        <f>'2005 Usage and Savings'!$A$20</f>
        <v>WILLISTON</v>
      </c>
      <c r="C25" s="331">
        <f>'2005 Usage and Savings'!$K20</f>
        <v>126174683</v>
      </c>
      <c r="D25" s="331">
        <f>'2006 Usage and Savings'!$K20</f>
        <v>120833615</v>
      </c>
      <c r="E25" s="331">
        <f>'2007 Usage and Savings'!$K20</f>
        <v>124885693</v>
      </c>
      <c r="F25" s="331">
        <f>'2008 Usage and Savings'!$K20</f>
        <v>120173268</v>
      </c>
      <c r="G25" s="331">
        <f>'2009 Usage and Savings'!$M20</f>
        <v>110667758</v>
      </c>
      <c r="H25" s="332">
        <f t="shared" si="1"/>
        <v>126174.683</v>
      </c>
      <c r="I25" s="332">
        <f t="shared" si="1"/>
        <v>120833.61500000001</v>
      </c>
      <c r="J25" s="332">
        <f t="shared" si="1"/>
        <v>124885.693</v>
      </c>
      <c r="K25" s="332">
        <f t="shared" si="1"/>
        <v>120173.268</v>
      </c>
      <c r="L25" s="332">
        <f t="shared" si="1"/>
        <v>110667.758</v>
      </c>
      <c r="M25" s="331">
        <f>'2005 Usage and Savings'!$B20</f>
        <v>99699783</v>
      </c>
      <c r="N25" s="331">
        <f>'2006 Usage and Savings'!$B20</f>
        <v>93986601</v>
      </c>
      <c r="O25" s="331">
        <f>'2007 Usage and Savings'!$B20</f>
        <v>97834414</v>
      </c>
      <c r="P25" s="331">
        <f>'2008 Usage and Savings'!$B20</f>
        <v>93878070</v>
      </c>
      <c r="Q25" s="331">
        <f>'2009 Usage and Savings'!B20</f>
        <v>84945422</v>
      </c>
      <c r="R25" s="331">
        <f>'2005 Usage and Savings'!$C20</f>
        <v>26474900</v>
      </c>
      <c r="S25" s="331">
        <f>'2006 Usage and Savings'!$C20</f>
        <v>26847014</v>
      </c>
      <c r="T25" s="331">
        <f>'2007 Usage and Savings'!$C20</f>
        <v>27051279</v>
      </c>
      <c r="U25" s="331">
        <f>'2008 Usage and Savings'!$C20</f>
        <v>26295198</v>
      </c>
      <c r="V25" s="331">
        <f>'2009 Usage and Savings'!C20</f>
        <v>25722336</v>
      </c>
    </row>
    <row r="26" spans="2:22" ht="15">
      <c r="B26" s="330" t="str">
        <f>'2005 Usage and Savings'!$A$21</f>
        <v>WINOOSKI</v>
      </c>
      <c r="C26" s="331">
        <f>'2005 Usage and Savings'!$K21</f>
        <v>41020757</v>
      </c>
      <c r="D26" s="331">
        <f>'2006 Usage and Savings'!$K21</f>
        <v>41770786</v>
      </c>
      <c r="E26" s="331">
        <f>'2007 Usage and Savings'!$K21</f>
        <v>43655654</v>
      </c>
      <c r="F26" s="331">
        <f>'2008 Usage and Savings'!$K21</f>
        <v>43114826</v>
      </c>
      <c r="G26" s="331">
        <f>'2009 Usage and Savings'!$M21</f>
        <v>42157826</v>
      </c>
      <c r="H26" s="332">
        <f t="shared" si="1"/>
        <v>41020.756999999998</v>
      </c>
      <c r="I26" s="332">
        <f t="shared" si="1"/>
        <v>41770.786</v>
      </c>
      <c r="J26" s="332">
        <f t="shared" si="1"/>
        <v>43655.654000000002</v>
      </c>
      <c r="K26" s="332">
        <f t="shared" si="1"/>
        <v>43114.826000000001</v>
      </c>
      <c r="L26" s="332">
        <f t="shared" si="1"/>
        <v>42157.826000000001</v>
      </c>
      <c r="M26" s="331">
        <f>'2005 Usage and Savings'!$B21</f>
        <v>25328826</v>
      </c>
      <c r="N26" s="331">
        <f>'2006 Usage and Savings'!$B21</f>
        <v>26035267</v>
      </c>
      <c r="O26" s="331">
        <f>'2007 Usage and Savings'!$B21</f>
        <v>27273035</v>
      </c>
      <c r="P26" s="331">
        <f>'2008 Usage and Savings'!$B21</f>
        <v>26698841</v>
      </c>
      <c r="Q26" s="331">
        <f>'2009 Usage and Savings'!B21</f>
        <v>25817970</v>
      </c>
      <c r="R26" s="331">
        <f>'2005 Usage and Savings'!$C21</f>
        <v>15691931</v>
      </c>
      <c r="S26" s="331">
        <f>'2006 Usage and Savings'!$C21</f>
        <v>15735519</v>
      </c>
      <c r="T26" s="331">
        <f>'2007 Usage and Savings'!$C21</f>
        <v>16382619</v>
      </c>
      <c r="U26" s="331">
        <f>'2008 Usage and Savings'!$C21</f>
        <v>16415985</v>
      </c>
      <c r="V26" s="331">
        <f>'2009 Usage and Savings'!C21</f>
        <v>16339856</v>
      </c>
    </row>
    <row r="27" spans="2:22">
      <c r="B27" s="330" t="s">
        <v>23</v>
      </c>
      <c r="C27" s="331">
        <f>SUM(C8:C26)</f>
        <v>1246717363</v>
      </c>
      <c r="D27" s="331">
        <f t="shared" ref="D27:V27" si="7">SUM(D8:D26)</f>
        <v>1239869429</v>
      </c>
      <c r="E27" s="331">
        <f t="shared" si="7"/>
        <v>1268756347</v>
      </c>
      <c r="F27" s="331">
        <f t="shared" si="7"/>
        <v>1248348729</v>
      </c>
      <c r="G27" s="331">
        <f t="shared" si="7"/>
        <v>1202919136</v>
      </c>
      <c r="H27" s="331">
        <f t="shared" si="7"/>
        <v>1246717.3630000004</v>
      </c>
      <c r="I27" s="331">
        <f t="shared" si="7"/>
        <v>1239869.429</v>
      </c>
      <c r="J27" s="331">
        <f t="shared" si="7"/>
        <v>1268756.3469999998</v>
      </c>
      <c r="K27" s="331">
        <f t="shared" si="7"/>
        <v>1248348.7290000003</v>
      </c>
      <c r="L27" s="331">
        <f t="shared" si="7"/>
        <v>1202919.1359999999</v>
      </c>
      <c r="M27" s="331">
        <f t="shared" si="7"/>
        <v>804057414</v>
      </c>
      <c r="N27" s="331">
        <f t="shared" si="7"/>
        <v>803254917</v>
      </c>
      <c r="O27" s="331">
        <f t="shared" si="7"/>
        <v>829261234</v>
      </c>
      <c r="P27" s="331">
        <f t="shared" si="7"/>
        <v>816027466</v>
      </c>
      <c r="Q27" s="331">
        <f t="shared" si="7"/>
        <v>776436439</v>
      </c>
      <c r="R27" s="331">
        <f t="shared" si="7"/>
        <v>442659949</v>
      </c>
      <c r="S27" s="331">
        <f t="shared" si="7"/>
        <v>436614512</v>
      </c>
      <c r="T27" s="331">
        <f t="shared" si="7"/>
        <v>439495113</v>
      </c>
      <c r="U27" s="331">
        <f t="shared" si="7"/>
        <v>432321263</v>
      </c>
      <c r="V27" s="331">
        <f t="shared" si="7"/>
        <v>426482697</v>
      </c>
    </row>
    <row r="31" spans="2:22">
      <c r="C31" s="552" t="s">
        <v>430</v>
      </c>
      <c r="D31" s="552"/>
      <c r="E31" s="552"/>
      <c r="F31" s="552"/>
      <c r="G31" s="552"/>
      <c r="H31" s="552"/>
      <c r="I31" s="552"/>
      <c r="J31" s="552"/>
      <c r="K31" s="552"/>
      <c r="L31" s="552"/>
      <c r="M31" s="552" t="s">
        <v>431</v>
      </c>
      <c r="N31" s="552"/>
      <c r="O31" s="552"/>
      <c r="P31" s="552"/>
      <c r="Q31" s="552"/>
      <c r="R31" s="552" t="s">
        <v>432</v>
      </c>
      <c r="S31" s="552"/>
      <c r="T31" s="552"/>
      <c r="U31" s="552"/>
      <c r="V31" s="552"/>
    </row>
    <row r="32" spans="2:22">
      <c r="C32" s="552" t="s">
        <v>419</v>
      </c>
      <c r="D32" s="552"/>
      <c r="E32" s="552"/>
      <c r="F32" s="552"/>
      <c r="G32" s="552"/>
      <c r="H32" s="552" t="s">
        <v>420</v>
      </c>
      <c r="I32" s="552"/>
      <c r="J32" s="552"/>
      <c r="K32" s="552"/>
      <c r="L32" s="552"/>
      <c r="M32" s="552" t="s">
        <v>419</v>
      </c>
      <c r="N32" s="552"/>
      <c r="O32" s="552"/>
      <c r="P32" s="552"/>
      <c r="Q32" s="552"/>
      <c r="R32" s="552" t="s">
        <v>419</v>
      </c>
      <c r="S32" s="552"/>
      <c r="T32" s="552"/>
      <c r="U32" s="552"/>
      <c r="V32" s="552"/>
    </row>
    <row r="33" spans="2:22">
      <c r="C33" s="329">
        <v>2005</v>
      </c>
      <c r="D33" s="329">
        <v>2006</v>
      </c>
      <c r="E33" s="329">
        <v>2007</v>
      </c>
      <c r="F33" s="329">
        <v>2008</v>
      </c>
      <c r="G33" s="329">
        <v>2009</v>
      </c>
      <c r="H33" s="329">
        <v>2005</v>
      </c>
      <c r="I33" s="329">
        <v>2006</v>
      </c>
      <c r="J33" s="329">
        <v>2007</v>
      </c>
      <c r="K33" s="329">
        <v>2008</v>
      </c>
      <c r="L33" s="329">
        <v>2009</v>
      </c>
      <c r="M33" s="329">
        <v>2005</v>
      </c>
      <c r="N33" s="329">
        <v>2006</v>
      </c>
      <c r="O33" s="329">
        <v>2007</v>
      </c>
      <c r="P33" s="329">
        <v>2008</v>
      </c>
      <c r="Q33" s="329">
        <v>2009</v>
      </c>
      <c r="R33" s="329">
        <v>2005</v>
      </c>
      <c r="S33" s="329">
        <v>2006</v>
      </c>
      <c r="T33" s="329">
        <v>2007</v>
      </c>
      <c r="U33" s="329">
        <v>2008</v>
      </c>
      <c r="V33" s="329">
        <v>2009</v>
      </c>
    </row>
    <row r="34" spans="2:22">
      <c r="B34" s="330" t="str">
        <f>'2005 Usage and Savings'!$A$3</f>
        <v>BOLTON</v>
      </c>
      <c r="C34" s="331">
        <f>'2005 Usage and Savings'!$L3</f>
        <v>85301.8</v>
      </c>
      <c r="D34" s="331">
        <f>'2006 Usage and Savings'!$L3</f>
        <v>23697.899999999998</v>
      </c>
      <c r="E34" s="331">
        <f>'2007 Usage and Savings'!$L3</f>
        <v>18878.599999999999</v>
      </c>
      <c r="F34" s="331">
        <f>'2008 Usage and Savings'!$L3</f>
        <v>69202.7</v>
      </c>
      <c r="G34" s="331">
        <f>'2009 Usage and Savings'!N3</f>
        <v>101343.09999999999</v>
      </c>
      <c r="H34" s="333">
        <f>C34/1000</f>
        <v>85.3018</v>
      </c>
      <c r="I34" s="333">
        <f t="shared" ref="I34:L50" si="8">D34/1000</f>
        <v>23.697899999999997</v>
      </c>
      <c r="J34" s="333">
        <f t="shared" si="8"/>
        <v>18.878599999999999</v>
      </c>
      <c r="K34" s="333">
        <f t="shared" si="8"/>
        <v>69.202699999999993</v>
      </c>
      <c r="L34" s="333">
        <f t="shared" si="8"/>
        <v>101.34309999999999</v>
      </c>
      <c r="M34" s="331">
        <f>'2005 Usage and Savings'!$D3</f>
        <v>57204.9</v>
      </c>
      <c r="N34" s="331">
        <f>'2006 Usage and Savings'!$D3</f>
        <v>4481.8</v>
      </c>
      <c r="O34" s="331">
        <f>'2007 Usage and Savings'!$D3</f>
        <v>5934.7</v>
      </c>
      <c r="P34" s="331">
        <f>'2008 Usage and Savings'!$D3</f>
        <v>54478.5</v>
      </c>
      <c r="Q34" s="331">
        <f>'2009 Usage and Savings'!D3</f>
        <v>85036.7</v>
      </c>
      <c r="R34" s="331">
        <f>'2005 Usage and Savings'!$E3</f>
        <v>28096.9</v>
      </c>
      <c r="S34" s="331">
        <f>'2006 Usage and Savings'!$E3</f>
        <v>19216.099999999999</v>
      </c>
      <c r="T34" s="331">
        <f>'2007 Usage and Savings'!$E3</f>
        <v>12943.9</v>
      </c>
      <c r="U34" s="331">
        <f>'2008 Usage and Savings'!$E3</f>
        <v>14724.2</v>
      </c>
      <c r="V34" s="331">
        <f>'2009 Usage and Savings'!E3</f>
        <v>16306.4</v>
      </c>
    </row>
    <row r="35" spans="2:22">
      <c r="B35" s="330" t="str">
        <f>'2005 Usage and Savings'!$A$4</f>
        <v>BUELS GORE</v>
      </c>
      <c r="C35" s="331">
        <f>'2005 Usage and Savings'!$L4</f>
        <v>0</v>
      </c>
      <c r="D35" s="331">
        <f>'2006 Usage and Savings'!$L4</f>
        <v>550.4</v>
      </c>
      <c r="E35" s="331">
        <f>'2007 Usage and Savings'!$L4</f>
        <v>369.2</v>
      </c>
      <c r="F35" s="331">
        <f>'2008 Usage and Savings'!$L4</f>
        <v>0</v>
      </c>
      <c r="G35" s="331">
        <f>'2009 Usage and Savings'!N4</f>
        <v>401.1</v>
      </c>
      <c r="H35" s="333">
        <f t="shared" ref="H35:L52" si="9">C35/1000</f>
        <v>0</v>
      </c>
      <c r="I35" s="333">
        <f t="shared" si="8"/>
        <v>0.5504</v>
      </c>
      <c r="J35" s="333">
        <f t="shared" si="8"/>
        <v>0.36919999999999997</v>
      </c>
      <c r="K35" s="333">
        <f t="shared" si="8"/>
        <v>0</v>
      </c>
      <c r="L35" s="333">
        <f t="shared" si="8"/>
        <v>0.40110000000000001</v>
      </c>
      <c r="M35" s="331">
        <f>'2005 Usage and Savings'!$D4</f>
        <v>0</v>
      </c>
      <c r="N35" s="331">
        <f>'2006 Usage and Savings'!$D4</f>
        <v>0</v>
      </c>
      <c r="O35" s="331">
        <f>'2007 Usage and Savings'!$D4</f>
        <v>0</v>
      </c>
      <c r="P35" s="331">
        <f>'2008 Usage and Savings'!$D4</f>
        <v>0</v>
      </c>
      <c r="Q35" s="331">
        <f>'2009 Usage and Savings'!D4</f>
        <v>0</v>
      </c>
      <c r="R35" s="331">
        <f>'2005 Usage and Savings'!$E4</f>
        <v>0</v>
      </c>
      <c r="S35" s="331">
        <f>'2006 Usage and Savings'!$E4</f>
        <v>550.4</v>
      </c>
      <c r="T35" s="331">
        <f>'2007 Usage and Savings'!$E4</f>
        <v>369.2</v>
      </c>
      <c r="U35" s="331">
        <f>'2008 Usage and Savings'!$E4</f>
        <v>0</v>
      </c>
      <c r="V35" s="331">
        <f>'2009 Usage and Savings'!E4</f>
        <v>401.1</v>
      </c>
    </row>
    <row r="36" spans="2:22">
      <c r="B36" s="330" t="str">
        <f>'2005 Usage and Savings'!$A$5</f>
        <v>BURLINGTON</v>
      </c>
      <c r="C36" s="331">
        <f>'2005 Usage and Savings'!$L5</f>
        <v>4947000</v>
      </c>
      <c r="D36" s="331">
        <f>'2006 Usage and Savings'!$L5</f>
        <v>6767000</v>
      </c>
      <c r="E36" s="331">
        <f>'2007 Usage and Savings'!$L5</f>
        <v>8208000</v>
      </c>
      <c r="F36" s="331">
        <f>'2008 Usage and Savings'!$L5</f>
        <v>6169000</v>
      </c>
      <c r="G36" s="331">
        <f>'2009 Usage and Savings'!N5</f>
        <v>5381000</v>
      </c>
      <c r="H36" s="333">
        <f t="shared" si="9"/>
        <v>4947</v>
      </c>
      <c r="I36" s="333">
        <f t="shared" si="8"/>
        <v>6767</v>
      </c>
      <c r="J36" s="333">
        <f t="shared" si="8"/>
        <v>8208</v>
      </c>
      <c r="K36" s="333">
        <f t="shared" si="8"/>
        <v>6169</v>
      </c>
      <c r="L36" s="333">
        <f t="shared" si="8"/>
        <v>5381</v>
      </c>
      <c r="M36" s="331">
        <f>'2005 Usage and Savings'!$D5</f>
        <v>3503000</v>
      </c>
      <c r="N36" s="331">
        <f>'2006 Usage and Savings'!$D5</f>
        <v>5600000</v>
      </c>
      <c r="O36" s="331">
        <f>'2007 Usage and Savings'!$D5</f>
        <v>5459000</v>
      </c>
      <c r="P36" s="331">
        <f>'2008 Usage and Savings'!$D5</f>
        <v>2942000</v>
      </c>
      <c r="Q36" s="331">
        <f>'2009 Usage and Savings'!D5</f>
        <v>3683000</v>
      </c>
      <c r="R36" s="331">
        <f>'2005 Usage and Savings'!$E5</f>
        <v>1444000</v>
      </c>
      <c r="S36" s="331">
        <f>'2006 Usage and Savings'!$E5</f>
        <v>1167000</v>
      </c>
      <c r="T36" s="331">
        <f>'2007 Usage and Savings'!$E5</f>
        <v>2749000</v>
      </c>
      <c r="U36" s="331">
        <f>'2008 Usage and Savings'!$E5</f>
        <v>3227000</v>
      </c>
      <c r="V36" s="331">
        <f>'2009 Usage and Savings'!E5</f>
        <v>1698000</v>
      </c>
    </row>
    <row r="37" spans="2:22">
      <c r="B37" s="330" t="str">
        <f>'2005 Usage and Savings'!$A$6</f>
        <v>CHARLOTTE</v>
      </c>
      <c r="C37" s="331">
        <f>'2005 Usage and Savings'!$L6</f>
        <v>165635.1</v>
      </c>
      <c r="D37" s="331">
        <f>'2006 Usage and Savings'!$L6</f>
        <v>353252.60000000003</v>
      </c>
      <c r="E37" s="331">
        <f>'2007 Usage and Savings'!$L6</f>
        <v>758097.7</v>
      </c>
      <c r="F37" s="331">
        <f>'2008 Usage and Savings'!$L6</f>
        <v>770173.10000000009</v>
      </c>
      <c r="G37" s="331">
        <f>'2009 Usage and Savings'!N6</f>
        <v>389928.4</v>
      </c>
      <c r="H37" s="333">
        <f t="shared" si="9"/>
        <v>165.63509999999999</v>
      </c>
      <c r="I37" s="333">
        <f t="shared" si="8"/>
        <v>353.25260000000003</v>
      </c>
      <c r="J37" s="333">
        <f t="shared" si="8"/>
        <v>758.09769999999992</v>
      </c>
      <c r="K37" s="333">
        <f t="shared" si="8"/>
        <v>770.17310000000009</v>
      </c>
      <c r="L37" s="333">
        <f t="shared" si="8"/>
        <v>389.92840000000001</v>
      </c>
      <c r="M37" s="331">
        <f>'2005 Usage and Savings'!$D6</f>
        <v>14411.5</v>
      </c>
      <c r="N37" s="331">
        <f>'2006 Usage and Savings'!$D6</f>
        <v>42219.9</v>
      </c>
      <c r="O37" s="331">
        <f>'2007 Usage and Savings'!$D6</f>
        <v>8252.2000000000007</v>
      </c>
      <c r="P37" s="331">
        <f>'2008 Usage and Savings'!$D6</f>
        <v>6481.8</v>
      </c>
      <c r="Q37" s="331">
        <f>'2009 Usage and Savings'!D6</f>
        <v>20891.5</v>
      </c>
      <c r="R37" s="331">
        <f>'2005 Usage and Savings'!$E6</f>
        <v>151223.6</v>
      </c>
      <c r="S37" s="331">
        <f>'2006 Usage and Savings'!$E6</f>
        <v>311032.7</v>
      </c>
      <c r="T37" s="331">
        <f>'2007 Usage and Savings'!$E6</f>
        <v>749845.5</v>
      </c>
      <c r="U37" s="331">
        <f>'2008 Usage and Savings'!$E6</f>
        <v>763691.3</v>
      </c>
      <c r="V37" s="331">
        <f>'2009 Usage and Savings'!E6</f>
        <v>369036.9</v>
      </c>
    </row>
    <row r="38" spans="2:22">
      <c r="B38" s="410" t="s">
        <v>30</v>
      </c>
      <c r="C38" s="331"/>
      <c r="D38" s="331"/>
      <c r="E38" s="331"/>
      <c r="F38" s="331"/>
      <c r="G38" s="331"/>
      <c r="H38" s="333"/>
      <c r="I38" s="333"/>
      <c r="J38" s="333"/>
      <c r="K38" s="333"/>
      <c r="L38" s="333"/>
      <c r="M38" s="331"/>
      <c r="N38" s="331"/>
      <c r="O38" s="331"/>
      <c r="P38" s="331"/>
      <c r="Q38" s="331"/>
      <c r="R38" s="331"/>
      <c r="S38" s="331"/>
      <c r="T38" s="331"/>
      <c r="U38" s="331"/>
      <c r="V38" s="331"/>
    </row>
    <row r="39" spans="2:22">
      <c r="B39" s="330" t="str">
        <f>'2005 Usage and Savings'!$A$8</f>
        <v>ESSEX</v>
      </c>
      <c r="C39" s="331">
        <f>'2005 Usage and Savings'!$L8</f>
        <v>565671.1</v>
      </c>
      <c r="D39" s="331">
        <f>'2006 Usage and Savings'!$L8</f>
        <v>900449.89999999991</v>
      </c>
      <c r="E39" s="331">
        <f>'2007 Usage and Savings'!$L8</f>
        <v>1834362.2000000002</v>
      </c>
      <c r="F39" s="331">
        <f>'2008 Usage and Savings'!$L8</f>
        <v>3012877.5</v>
      </c>
      <c r="G39" s="331">
        <f>'2009 Usage and Savings'!N8</f>
        <v>2146964.4</v>
      </c>
      <c r="H39" s="333">
        <f t="shared" si="9"/>
        <v>565.67110000000002</v>
      </c>
      <c r="I39" s="333">
        <f t="shared" si="8"/>
        <v>900.44989999999996</v>
      </c>
      <c r="J39" s="333">
        <f t="shared" si="8"/>
        <v>1834.3622000000003</v>
      </c>
      <c r="K39" s="333">
        <f t="shared" si="8"/>
        <v>3012.8775000000001</v>
      </c>
      <c r="L39" s="333">
        <f t="shared" si="8"/>
        <v>2146.9643999999998</v>
      </c>
      <c r="M39" s="331">
        <f>'2005 Usage and Savings'!$D8</f>
        <v>241229.1</v>
      </c>
      <c r="N39" s="331">
        <f>'2006 Usage and Savings'!$D8</f>
        <v>587575.6</v>
      </c>
      <c r="O39" s="331">
        <f>'2007 Usage and Savings'!$D8</f>
        <v>1210849.8</v>
      </c>
      <c r="P39" s="331">
        <f>'2008 Usage and Savings'!$D8</f>
        <v>1796195.7</v>
      </c>
      <c r="Q39" s="331">
        <f>'2009 Usage and Savings'!D8</f>
        <v>1581553.4</v>
      </c>
      <c r="R39" s="331">
        <f>'2005 Usage and Savings'!$E8</f>
        <v>324442</v>
      </c>
      <c r="S39" s="331">
        <f>'2006 Usage and Savings'!$E8</f>
        <v>312874.3</v>
      </c>
      <c r="T39" s="331">
        <f>'2007 Usage and Savings'!$E8</f>
        <v>623512.4</v>
      </c>
      <c r="U39" s="331">
        <f>'2008 Usage and Savings'!$E8</f>
        <v>1216681.8</v>
      </c>
      <c r="V39" s="331">
        <f>'2009 Usage and Savings'!E8</f>
        <v>565411</v>
      </c>
    </row>
    <row r="40" spans="2:22">
      <c r="B40" s="330" t="str">
        <f>'2005 Usage and Savings'!$A$9</f>
        <v>ESSEX JUNCTION</v>
      </c>
      <c r="C40" s="331">
        <f>'2005 Usage and Savings'!$L9</f>
        <v>2157100.7999999998</v>
      </c>
      <c r="D40" s="331">
        <f>'2006 Usage and Savings'!$L9</f>
        <v>3479923.5</v>
      </c>
      <c r="E40" s="331">
        <f>'2007 Usage and Savings'!$L9</f>
        <v>10479093.399999999</v>
      </c>
      <c r="F40" s="331">
        <f>'2008 Usage and Savings'!$L9</f>
        <v>8072314</v>
      </c>
      <c r="G40" s="331">
        <f>'2009 Usage and Savings'!N9</f>
        <v>5832389</v>
      </c>
      <c r="H40" s="333">
        <f t="shared" si="9"/>
        <v>2157.1007999999997</v>
      </c>
      <c r="I40" s="333">
        <f t="shared" si="8"/>
        <v>3479.9234999999999</v>
      </c>
      <c r="J40" s="333">
        <f t="shared" si="8"/>
        <v>10479.093399999998</v>
      </c>
      <c r="K40" s="333">
        <f t="shared" si="8"/>
        <v>8072.3140000000003</v>
      </c>
      <c r="L40" s="333">
        <f t="shared" si="8"/>
        <v>5832.3890000000001</v>
      </c>
      <c r="M40" s="331">
        <f>'2005 Usage and Savings'!$D9</f>
        <v>1756133</v>
      </c>
      <c r="N40" s="331">
        <f>'2006 Usage and Savings'!$D9</f>
        <v>3035579.6</v>
      </c>
      <c r="O40" s="331">
        <f>'2007 Usage and Savings'!$D9</f>
        <v>9251999.1999999993</v>
      </c>
      <c r="P40" s="331">
        <f>'2008 Usage and Savings'!$D9</f>
        <v>5686527</v>
      </c>
      <c r="Q40" s="331">
        <f>'2009 Usage and Savings'!D9</f>
        <v>4772578.2</v>
      </c>
      <c r="R40" s="331">
        <f>'2005 Usage and Savings'!$E9</f>
        <v>400967.8</v>
      </c>
      <c r="S40" s="331">
        <f>'2006 Usage and Savings'!$E9</f>
        <v>444343.9</v>
      </c>
      <c r="T40" s="331">
        <f>'2007 Usage and Savings'!$E9</f>
        <v>1227094.2</v>
      </c>
      <c r="U40" s="331">
        <f>'2008 Usage and Savings'!$E9</f>
        <v>2385787</v>
      </c>
      <c r="V40" s="331">
        <f>'2009 Usage and Savings'!E9</f>
        <v>1059810.8</v>
      </c>
    </row>
    <row r="41" spans="2:22">
      <c r="B41" s="330" t="str">
        <f>'2005 Usage and Savings'!$A$10</f>
        <v>HINESBURG</v>
      </c>
      <c r="C41" s="331">
        <f>'2005 Usage and Savings'!$L10</f>
        <v>689144.8</v>
      </c>
      <c r="D41" s="331">
        <f>'2006 Usage and Savings'!$L10</f>
        <v>501555.19999999995</v>
      </c>
      <c r="E41" s="331">
        <f>'2007 Usage and Savings'!$L10</f>
        <v>567385.1</v>
      </c>
      <c r="F41" s="331">
        <f>'2008 Usage and Savings'!$L10</f>
        <v>639700.19999999995</v>
      </c>
      <c r="G41" s="331">
        <f>'2009 Usage and Savings'!N10</f>
        <v>456171.3</v>
      </c>
      <c r="H41" s="333">
        <f t="shared" si="9"/>
        <v>689.14480000000003</v>
      </c>
      <c r="I41" s="333">
        <f t="shared" si="8"/>
        <v>501.55519999999996</v>
      </c>
      <c r="J41" s="333">
        <f t="shared" si="8"/>
        <v>567.38509999999997</v>
      </c>
      <c r="K41" s="333">
        <f t="shared" si="8"/>
        <v>639.7002</v>
      </c>
      <c r="L41" s="333">
        <f t="shared" si="8"/>
        <v>456.17129999999997</v>
      </c>
      <c r="M41" s="331">
        <f>'2005 Usage and Savings'!$D10</f>
        <v>598735.4</v>
      </c>
      <c r="N41" s="331">
        <f>'2006 Usage and Savings'!$D10</f>
        <v>293757.3</v>
      </c>
      <c r="O41" s="331">
        <f>'2007 Usage and Savings'!$D10</f>
        <v>17836.7</v>
      </c>
      <c r="P41" s="331">
        <f>'2008 Usage and Savings'!$D10</f>
        <v>315769.2</v>
      </c>
      <c r="Q41" s="331">
        <f>'2009 Usage and Savings'!D10</f>
        <v>258416.9</v>
      </c>
      <c r="R41" s="331">
        <f>'2005 Usage and Savings'!$E10</f>
        <v>90409.4</v>
      </c>
      <c r="S41" s="331">
        <f>'2006 Usage and Savings'!$E10</f>
        <v>207797.9</v>
      </c>
      <c r="T41" s="331">
        <f>'2007 Usage and Savings'!$E10</f>
        <v>549548.4</v>
      </c>
      <c r="U41" s="331">
        <f>'2008 Usage and Savings'!$E10</f>
        <v>323931</v>
      </c>
      <c r="V41" s="331">
        <f>'2009 Usage and Savings'!E10</f>
        <v>197754.4</v>
      </c>
    </row>
    <row r="42" spans="2:22">
      <c r="B42" s="330" t="str">
        <f>'2005 Usage and Savings'!$A$11</f>
        <v>HUNTINGTON</v>
      </c>
      <c r="C42" s="331">
        <f>'2005 Usage and Savings'!$L11</f>
        <v>88789.4</v>
      </c>
      <c r="D42" s="331">
        <f>'2006 Usage and Savings'!$L11</f>
        <v>107037.3</v>
      </c>
      <c r="E42" s="331">
        <f>'2007 Usage and Savings'!$L11</f>
        <v>181563.09999999998</v>
      </c>
      <c r="F42" s="331">
        <f>'2008 Usage and Savings'!$L11</f>
        <v>186335.19999999998</v>
      </c>
      <c r="G42" s="331">
        <f>'2009 Usage and Savings'!N11</f>
        <v>76202.100000000006</v>
      </c>
      <c r="H42" s="333">
        <f t="shared" si="9"/>
        <v>88.789400000000001</v>
      </c>
      <c r="I42" s="333">
        <f t="shared" si="8"/>
        <v>107.0373</v>
      </c>
      <c r="J42" s="333">
        <f t="shared" si="8"/>
        <v>181.56309999999996</v>
      </c>
      <c r="K42" s="333">
        <f t="shared" si="8"/>
        <v>186.33519999999999</v>
      </c>
      <c r="L42" s="333">
        <f t="shared" si="8"/>
        <v>76.202100000000002</v>
      </c>
      <c r="M42" s="331">
        <f>'2005 Usage and Savings'!$D11</f>
        <v>19558.2</v>
      </c>
      <c r="N42" s="331">
        <f>'2006 Usage and Savings'!$D11</f>
        <v>0</v>
      </c>
      <c r="O42" s="331">
        <f>'2007 Usage and Savings'!$D11</f>
        <v>2308.3000000000002</v>
      </c>
      <c r="P42" s="331">
        <f>'2008 Usage and Savings'!$D11</f>
        <v>10011.9</v>
      </c>
      <c r="Q42" s="331">
        <f>'2009 Usage and Savings'!D11</f>
        <v>-456</v>
      </c>
      <c r="R42" s="331">
        <f>'2005 Usage and Savings'!$E11</f>
        <v>69231.199999999997</v>
      </c>
      <c r="S42" s="331">
        <f>'2006 Usage and Savings'!$E11</f>
        <v>107037.3</v>
      </c>
      <c r="T42" s="331">
        <f>'2007 Usage and Savings'!$E11</f>
        <v>179254.8</v>
      </c>
      <c r="U42" s="331">
        <f>'2008 Usage and Savings'!$E11</f>
        <v>176323.3</v>
      </c>
      <c r="V42" s="331">
        <f>'2009 Usage and Savings'!E11</f>
        <v>76658.100000000006</v>
      </c>
    </row>
    <row r="43" spans="2:22">
      <c r="B43" s="330" t="str">
        <f>'2005 Usage and Savings'!$A$12</f>
        <v>JERICHO</v>
      </c>
      <c r="C43" s="331">
        <f>'2005 Usage and Savings'!$L12</f>
        <v>176351.80000000002</v>
      </c>
      <c r="D43" s="331">
        <f>'2006 Usage and Savings'!$L12</f>
        <v>225699.6</v>
      </c>
      <c r="E43" s="331">
        <f>'2007 Usage and Savings'!$L12</f>
        <v>433507.1</v>
      </c>
      <c r="F43" s="331">
        <f>'2008 Usage and Savings'!$L12</f>
        <v>679758.7</v>
      </c>
      <c r="G43" s="331">
        <f>'2009 Usage and Savings'!N12</f>
        <v>344758.8</v>
      </c>
      <c r="H43" s="333">
        <f t="shared" si="9"/>
        <v>176.35180000000003</v>
      </c>
      <c r="I43" s="333">
        <f t="shared" si="8"/>
        <v>225.6996</v>
      </c>
      <c r="J43" s="333">
        <f t="shared" si="8"/>
        <v>433.50709999999998</v>
      </c>
      <c r="K43" s="333">
        <f t="shared" si="8"/>
        <v>679.75869999999998</v>
      </c>
      <c r="L43" s="333">
        <f t="shared" si="8"/>
        <v>344.75880000000001</v>
      </c>
      <c r="M43" s="331">
        <f>'2005 Usage and Savings'!$D12</f>
        <v>7421.1</v>
      </c>
      <c r="N43" s="331">
        <f>'2006 Usage and Savings'!$D12</f>
        <v>67561</v>
      </c>
      <c r="O43" s="331">
        <f>'2007 Usage and Savings'!$D12</f>
        <v>54939.3</v>
      </c>
      <c r="P43" s="331">
        <f>'2008 Usage and Savings'!$D12</f>
        <v>45913.7</v>
      </c>
      <c r="Q43" s="331">
        <f>'2009 Usage and Savings'!D12</f>
        <v>17758.599999999999</v>
      </c>
      <c r="R43" s="331">
        <f>'2005 Usage and Savings'!$E12</f>
        <v>168930.7</v>
      </c>
      <c r="S43" s="331">
        <f>'2006 Usage and Savings'!$E12</f>
        <v>158138.6</v>
      </c>
      <c r="T43" s="331">
        <f>'2007 Usage and Savings'!$E12</f>
        <v>378567.8</v>
      </c>
      <c r="U43" s="331">
        <f>'2008 Usage and Savings'!$E12</f>
        <v>633845</v>
      </c>
      <c r="V43" s="331">
        <f>'2009 Usage and Savings'!E12</f>
        <v>327000.2</v>
      </c>
    </row>
    <row r="44" spans="2:22">
      <c r="B44" s="330" t="str">
        <f>'2005 Usage and Savings'!$A$13</f>
        <v>MILTON</v>
      </c>
      <c r="C44" s="331">
        <f>'2005 Usage and Savings'!$L13</f>
        <v>371142.2</v>
      </c>
      <c r="D44" s="331">
        <f>'2006 Usage and Savings'!$L13</f>
        <v>559354.1</v>
      </c>
      <c r="E44" s="331">
        <f>'2007 Usage and Savings'!$L13</f>
        <v>2076850.5999999999</v>
      </c>
      <c r="F44" s="331">
        <f>'2008 Usage and Savings'!$L13</f>
        <v>4047010.8</v>
      </c>
      <c r="G44" s="331">
        <f>'2009 Usage and Savings'!N13</f>
        <v>1647612.2</v>
      </c>
      <c r="H44" s="333">
        <f t="shared" si="9"/>
        <v>371.1422</v>
      </c>
      <c r="I44" s="333">
        <f t="shared" si="8"/>
        <v>559.35410000000002</v>
      </c>
      <c r="J44" s="333">
        <f t="shared" si="8"/>
        <v>2076.8505999999998</v>
      </c>
      <c r="K44" s="333">
        <f t="shared" si="8"/>
        <v>4047.0108</v>
      </c>
      <c r="L44" s="333">
        <f t="shared" si="8"/>
        <v>1647.6122</v>
      </c>
      <c r="M44" s="331">
        <f>'2005 Usage and Savings'!$D13</f>
        <v>41746.9</v>
      </c>
      <c r="N44" s="331">
        <f>'2006 Usage and Savings'!$D13</f>
        <v>251128.4</v>
      </c>
      <c r="O44" s="331">
        <f>'2007 Usage and Savings'!$D13</f>
        <v>1249412.8999999999</v>
      </c>
      <c r="P44" s="331">
        <f>'2008 Usage and Savings'!$D13</f>
        <v>2490156.1</v>
      </c>
      <c r="Q44" s="331">
        <f>'2009 Usage and Savings'!D13</f>
        <v>846203</v>
      </c>
      <c r="R44" s="331">
        <f>'2005 Usage and Savings'!$E13</f>
        <v>329395.3</v>
      </c>
      <c r="S44" s="331">
        <f>'2006 Usage and Savings'!$E13</f>
        <v>308225.7</v>
      </c>
      <c r="T44" s="331">
        <f>'2007 Usage and Savings'!$E13</f>
        <v>827437.7</v>
      </c>
      <c r="U44" s="331">
        <f>'2008 Usage and Savings'!$E13</f>
        <v>1556854.7</v>
      </c>
      <c r="V44" s="331">
        <f>'2009 Usage and Savings'!E13</f>
        <v>801409.2</v>
      </c>
    </row>
    <row r="45" spans="2:22">
      <c r="B45" s="330" t="str">
        <f>'2005 Usage and Savings'!$A$14</f>
        <v>RICHMOND</v>
      </c>
      <c r="C45" s="331">
        <f>'2005 Usage and Savings'!$L14</f>
        <v>174512.40000000002</v>
      </c>
      <c r="D45" s="331">
        <f>'2006 Usage and Savings'!$L14</f>
        <v>212811.3</v>
      </c>
      <c r="E45" s="331">
        <f>'2007 Usage and Savings'!$L14</f>
        <v>459601.9</v>
      </c>
      <c r="F45" s="331">
        <f>'2008 Usage and Savings'!$L14</f>
        <v>656356.4</v>
      </c>
      <c r="G45" s="331">
        <f>'2009 Usage and Savings'!N14</f>
        <v>357276.69999999995</v>
      </c>
      <c r="H45" s="333">
        <f t="shared" si="9"/>
        <v>174.51240000000001</v>
      </c>
      <c r="I45" s="333">
        <f t="shared" si="8"/>
        <v>212.81129999999999</v>
      </c>
      <c r="J45" s="333">
        <f t="shared" si="8"/>
        <v>459.6019</v>
      </c>
      <c r="K45" s="333">
        <f t="shared" si="8"/>
        <v>656.35640000000001</v>
      </c>
      <c r="L45" s="333">
        <f t="shared" si="8"/>
        <v>357.27669999999995</v>
      </c>
      <c r="M45" s="331">
        <f>'2005 Usage and Savings'!$D14</f>
        <v>35583.300000000003</v>
      </c>
      <c r="N45" s="331">
        <f>'2006 Usage and Savings'!$D14</f>
        <v>42721.5</v>
      </c>
      <c r="O45" s="331">
        <f>'2007 Usage and Savings'!$D14</f>
        <v>57684.2</v>
      </c>
      <c r="P45" s="331">
        <f>'2008 Usage and Savings'!$D14</f>
        <v>78178.8</v>
      </c>
      <c r="Q45" s="331">
        <f>'2009 Usage and Savings'!D14</f>
        <v>35253.599999999999</v>
      </c>
      <c r="R45" s="331">
        <f>'2005 Usage and Savings'!$E14</f>
        <v>138929.1</v>
      </c>
      <c r="S45" s="331">
        <f>'2006 Usage and Savings'!$E14</f>
        <v>170089.8</v>
      </c>
      <c r="T45" s="331">
        <f>'2007 Usage and Savings'!$E14</f>
        <v>401917.7</v>
      </c>
      <c r="U45" s="331">
        <f>'2008 Usage and Savings'!$E14</f>
        <v>578177.6</v>
      </c>
      <c r="V45" s="331">
        <f>'2009 Usage and Savings'!E14</f>
        <v>322023.09999999998</v>
      </c>
    </row>
    <row r="46" spans="2:22">
      <c r="B46" s="330" t="str">
        <f>'2005 Usage and Savings'!$A$15</f>
        <v>SHELBURNE</v>
      </c>
      <c r="C46" s="331">
        <f>'2005 Usage and Savings'!$L15</f>
        <v>647209.69999999995</v>
      </c>
      <c r="D46" s="331">
        <f>'2006 Usage and Savings'!$L15</f>
        <v>1243448.2</v>
      </c>
      <c r="E46" s="331">
        <f>'2007 Usage and Savings'!$L15</f>
        <v>1151961.1000000001</v>
      </c>
      <c r="F46" s="331">
        <f>'2008 Usage and Savings'!$L15</f>
        <v>1585323.3</v>
      </c>
      <c r="G46" s="331">
        <f>'2009 Usage and Savings'!N15</f>
        <v>1287800.8</v>
      </c>
      <c r="H46" s="333">
        <f t="shared" si="9"/>
        <v>647.2097</v>
      </c>
      <c r="I46" s="333">
        <f t="shared" si="8"/>
        <v>1243.4482</v>
      </c>
      <c r="J46" s="333">
        <f t="shared" si="8"/>
        <v>1151.9611</v>
      </c>
      <c r="K46" s="333">
        <f t="shared" si="8"/>
        <v>1585.3233</v>
      </c>
      <c r="L46" s="333">
        <f t="shared" si="8"/>
        <v>1287.8008</v>
      </c>
      <c r="M46" s="331">
        <f>'2005 Usage and Savings'!$D15</f>
        <v>411088.3</v>
      </c>
      <c r="N46" s="331">
        <f>'2006 Usage and Savings'!$D15</f>
        <v>838913.4</v>
      </c>
      <c r="O46" s="331">
        <f>'2007 Usage and Savings'!$D15</f>
        <v>355781.1</v>
      </c>
      <c r="P46" s="331">
        <f>'2008 Usage and Savings'!$D15</f>
        <v>449622.2</v>
      </c>
      <c r="Q46" s="331">
        <f>'2009 Usage and Savings'!D15</f>
        <v>672179.9</v>
      </c>
      <c r="R46" s="331">
        <f>'2005 Usage and Savings'!$E15</f>
        <v>236121.4</v>
      </c>
      <c r="S46" s="331">
        <f>'2006 Usage and Savings'!$E15</f>
        <v>404534.8</v>
      </c>
      <c r="T46" s="331">
        <f>'2007 Usage and Savings'!$E15</f>
        <v>796180</v>
      </c>
      <c r="U46" s="331">
        <f>'2008 Usage and Savings'!$E15</f>
        <v>1135701.1000000001</v>
      </c>
      <c r="V46" s="331">
        <f>'2009 Usage and Savings'!E15</f>
        <v>615620.9</v>
      </c>
    </row>
    <row r="47" spans="2:22">
      <c r="B47" s="330" t="str">
        <f>'2005 Usage and Savings'!$A$16</f>
        <v>SOUTH BURLINGTON</v>
      </c>
      <c r="C47" s="331">
        <f>'2005 Usage and Savings'!$L16</f>
        <v>2578362.9000000004</v>
      </c>
      <c r="D47" s="331">
        <f>'2006 Usage and Savings'!$L16</f>
        <v>2914730.9</v>
      </c>
      <c r="E47" s="331">
        <f>'2007 Usage and Savings'!$L16</f>
        <v>4574615.2</v>
      </c>
      <c r="F47" s="331">
        <f>'2008 Usage and Savings'!$L16</f>
        <v>7876441.6999999993</v>
      </c>
      <c r="G47" s="331">
        <f>'2009 Usage and Savings'!N16</f>
        <v>5051232.4000000004</v>
      </c>
      <c r="H47" s="333">
        <f t="shared" si="9"/>
        <v>2578.3629000000005</v>
      </c>
      <c r="I47" s="333">
        <f t="shared" si="8"/>
        <v>2914.7309</v>
      </c>
      <c r="J47" s="333">
        <f t="shared" si="8"/>
        <v>4574.6152000000002</v>
      </c>
      <c r="K47" s="333">
        <f t="shared" si="8"/>
        <v>7876.4416999999994</v>
      </c>
      <c r="L47" s="333">
        <f t="shared" si="8"/>
        <v>5051.2324000000008</v>
      </c>
      <c r="M47" s="331">
        <f>'2005 Usage and Savings'!$D16</f>
        <v>1805395.6</v>
      </c>
      <c r="N47" s="331">
        <f>'2006 Usage and Savings'!$D16</f>
        <v>1926068.5</v>
      </c>
      <c r="O47" s="331">
        <f>'2007 Usage and Savings'!$D16</f>
        <v>2677895.1</v>
      </c>
      <c r="P47" s="331">
        <f>'2008 Usage and Savings'!$D16</f>
        <v>5089939.0999999996</v>
      </c>
      <c r="Q47" s="331">
        <f>'2009 Usage and Savings'!D16</f>
        <v>2695286.8</v>
      </c>
      <c r="R47" s="331">
        <f>'2005 Usage and Savings'!$E16</f>
        <v>772967.3</v>
      </c>
      <c r="S47" s="331">
        <f>'2006 Usage and Savings'!$E16</f>
        <v>988662.4</v>
      </c>
      <c r="T47" s="331">
        <f>'2007 Usage and Savings'!$E16</f>
        <v>1896720.1</v>
      </c>
      <c r="U47" s="331">
        <f>'2008 Usage and Savings'!$E16</f>
        <v>2786502.6</v>
      </c>
      <c r="V47" s="331">
        <f>'2009 Usage and Savings'!E16</f>
        <v>2355945.6</v>
      </c>
    </row>
    <row r="48" spans="2:22">
      <c r="B48" s="330" t="str">
        <f>'2005 Usage and Savings'!$A$17</f>
        <v>ST. GEORGE</v>
      </c>
      <c r="C48" s="331">
        <f>'2005 Usage and Savings'!$L17</f>
        <v>5974.5</v>
      </c>
      <c r="D48" s="331">
        <f>'2006 Usage and Savings'!$L17</f>
        <v>9250.5</v>
      </c>
      <c r="E48" s="331">
        <f>'2007 Usage and Savings'!$L17</f>
        <v>153343</v>
      </c>
      <c r="F48" s="331">
        <f>'2008 Usage and Savings'!$L17</f>
        <v>93247.5</v>
      </c>
      <c r="G48" s="331">
        <f>'2009 Usage and Savings'!N17</f>
        <v>108424.8</v>
      </c>
      <c r="H48" s="333">
        <f t="shared" si="9"/>
        <v>5.9744999999999999</v>
      </c>
      <c r="I48" s="333">
        <f t="shared" si="8"/>
        <v>9.2505000000000006</v>
      </c>
      <c r="J48" s="333">
        <f t="shared" si="8"/>
        <v>153.34299999999999</v>
      </c>
      <c r="K48" s="333">
        <f t="shared" si="8"/>
        <v>93.247500000000002</v>
      </c>
      <c r="L48" s="333">
        <f t="shared" si="8"/>
        <v>108.4248</v>
      </c>
      <c r="M48" s="331">
        <f>'2005 Usage and Savings'!$D17</f>
        <v>0</v>
      </c>
      <c r="N48" s="331">
        <f>'2006 Usage and Savings'!$D17</f>
        <v>0</v>
      </c>
      <c r="O48" s="331">
        <f>'2007 Usage and Savings'!$D17</f>
        <v>124411.1</v>
      </c>
      <c r="P48" s="331">
        <f>'2008 Usage and Savings'!$D17</f>
        <v>0</v>
      </c>
      <c r="Q48" s="331">
        <f>'2009 Usage and Savings'!D17</f>
        <v>0</v>
      </c>
      <c r="R48" s="331">
        <f>'2005 Usage and Savings'!$E17</f>
        <v>5974.5</v>
      </c>
      <c r="S48" s="331">
        <f>'2006 Usage and Savings'!$E17</f>
        <v>9250.5</v>
      </c>
      <c r="T48" s="331">
        <f>'2007 Usage and Savings'!$E17</f>
        <v>28931.9</v>
      </c>
      <c r="U48" s="331">
        <f>'2008 Usage and Savings'!$E17</f>
        <v>93247.5</v>
      </c>
      <c r="V48" s="331">
        <f>'2009 Usage and Savings'!E17</f>
        <v>108424.8</v>
      </c>
    </row>
    <row r="49" spans="2:22">
      <c r="B49" s="330" t="str">
        <f>'2005 Usage and Savings'!$A$18</f>
        <v>UNDERHILL</v>
      </c>
      <c r="C49" s="331">
        <f>'2005 Usage and Savings'!$L18</f>
        <v>99113.200000000012</v>
      </c>
      <c r="D49" s="331">
        <f>'2006 Usage and Savings'!$L18</f>
        <v>170789.4</v>
      </c>
      <c r="E49" s="331">
        <f>'2007 Usage and Savings'!$L18</f>
        <v>320795.3</v>
      </c>
      <c r="F49" s="331">
        <f>'2008 Usage and Savings'!$L18</f>
        <v>549701.5</v>
      </c>
      <c r="G49" s="331">
        <f>'2009 Usage and Savings'!N18</f>
        <v>275951.39999999997</v>
      </c>
      <c r="H49" s="333">
        <f t="shared" si="9"/>
        <v>99.113200000000006</v>
      </c>
      <c r="I49" s="333">
        <f t="shared" si="8"/>
        <v>170.7894</v>
      </c>
      <c r="J49" s="333">
        <f t="shared" si="8"/>
        <v>320.7953</v>
      </c>
      <c r="K49" s="333">
        <f t="shared" si="8"/>
        <v>549.70150000000001</v>
      </c>
      <c r="L49" s="333">
        <f t="shared" si="8"/>
        <v>275.95139999999998</v>
      </c>
      <c r="M49" s="331">
        <f>'2005 Usage and Savings'!$D18</f>
        <v>1371.1</v>
      </c>
      <c r="N49" s="331">
        <f>'2006 Usage and Savings'!$D18</f>
        <v>7760.8</v>
      </c>
      <c r="O49" s="331">
        <f>'2007 Usage and Savings'!$D18</f>
        <v>633.79999999999995</v>
      </c>
      <c r="P49" s="331">
        <f>'2008 Usage and Savings'!$D18</f>
        <v>17514.5</v>
      </c>
      <c r="Q49" s="331">
        <f>'2009 Usage and Savings'!D18</f>
        <v>1568.3</v>
      </c>
      <c r="R49" s="331">
        <f>'2005 Usage and Savings'!$E18</f>
        <v>97742.1</v>
      </c>
      <c r="S49" s="331">
        <f>'2006 Usage and Savings'!$E18</f>
        <v>163028.6</v>
      </c>
      <c r="T49" s="331">
        <f>'2007 Usage and Savings'!$E18</f>
        <v>320161.5</v>
      </c>
      <c r="U49" s="331">
        <f>'2008 Usage and Savings'!$E18</f>
        <v>532187</v>
      </c>
      <c r="V49" s="331">
        <f>'2009 Usage and Savings'!E18</f>
        <v>274383.09999999998</v>
      </c>
    </row>
    <row r="50" spans="2:22">
      <c r="B50" s="330" t="str">
        <f>'2005 Usage and Savings'!$A$19</f>
        <v>WESTFORD</v>
      </c>
      <c r="C50" s="331">
        <f>'2005 Usage and Savings'!$L19</f>
        <v>55408.5</v>
      </c>
      <c r="D50" s="331">
        <f>'2006 Usage and Savings'!$L19</f>
        <v>76742.7</v>
      </c>
      <c r="E50" s="331">
        <f>'2007 Usage and Savings'!$L19</f>
        <v>156716.6</v>
      </c>
      <c r="F50" s="331">
        <f>'2008 Usage and Savings'!$L19</f>
        <v>297905.8</v>
      </c>
      <c r="G50" s="331">
        <f>'2009 Usage and Savings'!N19</f>
        <v>108837.09999999999</v>
      </c>
      <c r="H50" s="333">
        <f t="shared" si="9"/>
        <v>55.408499999999997</v>
      </c>
      <c r="I50" s="333">
        <f t="shared" si="8"/>
        <v>76.742699999999999</v>
      </c>
      <c r="J50" s="333">
        <f t="shared" si="8"/>
        <v>156.7166</v>
      </c>
      <c r="K50" s="333">
        <f t="shared" si="8"/>
        <v>297.9058</v>
      </c>
      <c r="L50" s="333">
        <f t="shared" si="8"/>
        <v>108.83709999999999</v>
      </c>
      <c r="M50" s="331">
        <f>'2005 Usage and Savings'!$D19</f>
        <v>5139.6000000000004</v>
      </c>
      <c r="N50" s="331">
        <f>'2006 Usage and Savings'!$D19</f>
        <v>369.3</v>
      </c>
      <c r="O50" s="331">
        <f>'2007 Usage and Savings'!$D19</f>
        <v>1849.7</v>
      </c>
      <c r="P50" s="331">
        <f>'2008 Usage and Savings'!$D19</f>
        <v>59836.3</v>
      </c>
      <c r="Q50" s="331">
        <f>'2009 Usage and Savings'!D19</f>
        <v>9539.7000000000007</v>
      </c>
      <c r="R50" s="331">
        <f>'2005 Usage and Savings'!$E19</f>
        <v>50268.9</v>
      </c>
      <c r="S50" s="331">
        <f>'2006 Usage and Savings'!$E19</f>
        <v>76373.399999999994</v>
      </c>
      <c r="T50" s="331">
        <f>'2007 Usage and Savings'!$E19</f>
        <v>154866.9</v>
      </c>
      <c r="U50" s="331">
        <f>'2008 Usage and Savings'!$E19</f>
        <v>238069.5</v>
      </c>
      <c r="V50" s="331">
        <f>'2009 Usage and Savings'!E19</f>
        <v>99297.4</v>
      </c>
    </row>
    <row r="51" spans="2:22">
      <c r="B51" s="330" t="str">
        <f>'2005 Usage and Savings'!$A$20</f>
        <v>WILLISTON</v>
      </c>
      <c r="C51" s="331">
        <f>'2005 Usage and Savings'!$L20</f>
        <v>1087476.2</v>
      </c>
      <c r="D51" s="331">
        <f>'2006 Usage and Savings'!$L20</f>
        <v>914568.9</v>
      </c>
      <c r="E51" s="331">
        <f>'2007 Usage and Savings'!$L20</f>
        <v>1653397.5</v>
      </c>
      <c r="F51" s="331">
        <f>'2008 Usage and Savings'!$L20</f>
        <v>2200727.1</v>
      </c>
      <c r="G51" s="331">
        <f>'2009 Usage and Savings'!N20</f>
        <v>2294996.1</v>
      </c>
      <c r="H51" s="333">
        <f t="shared" si="9"/>
        <v>1087.4762000000001</v>
      </c>
      <c r="I51" s="333">
        <f t="shared" si="9"/>
        <v>914.56889999999999</v>
      </c>
      <c r="J51" s="333">
        <f t="shared" si="9"/>
        <v>1653.3975</v>
      </c>
      <c r="K51" s="333">
        <f t="shared" si="9"/>
        <v>2200.7271000000001</v>
      </c>
      <c r="L51" s="333">
        <f t="shared" si="9"/>
        <v>2294.9961000000003</v>
      </c>
      <c r="M51" s="331">
        <f>'2005 Usage and Savings'!$D20</f>
        <v>842898.3</v>
      </c>
      <c r="N51" s="331">
        <f>'2006 Usage and Savings'!$D20</f>
        <v>574121.80000000005</v>
      </c>
      <c r="O51" s="331">
        <f>'2007 Usage and Savings'!$D20</f>
        <v>995794.3</v>
      </c>
      <c r="P51" s="331">
        <f>'2008 Usage and Savings'!$D20</f>
        <v>1147574</v>
      </c>
      <c r="Q51" s="331">
        <f>'2009 Usage and Savings'!D20</f>
        <v>1558980</v>
      </c>
      <c r="R51" s="331">
        <f>'2005 Usage and Savings'!$E20</f>
        <v>244577.9</v>
      </c>
      <c r="S51" s="331">
        <f>'2006 Usage and Savings'!$E20</f>
        <v>340447.1</v>
      </c>
      <c r="T51" s="331">
        <f>'2007 Usage and Savings'!$E20</f>
        <v>657603.19999999995</v>
      </c>
      <c r="U51" s="331">
        <f>'2008 Usage and Savings'!$E20</f>
        <v>1053153.1000000001</v>
      </c>
      <c r="V51" s="331">
        <f>'2009 Usage and Savings'!E20</f>
        <v>736016.1</v>
      </c>
    </row>
    <row r="52" spans="2:22">
      <c r="B52" s="330" t="str">
        <f>'2005 Usage and Savings'!$A$21</f>
        <v>WINOOSKI</v>
      </c>
      <c r="C52" s="331">
        <f>'2005 Usage and Savings'!$L21</f>
        <v>641509</v>
      </c>
      <c r="D52" s="331">
        <f>'2006 Usage and Savings'!$L21</f>
        <v>681471.1</v>
      </c>
      <c r="E52" s="331">
        <f>'2007 Usage and Savings'!$L21</f>
        <v>2435167.5</v>
      </c>
      <c r="F52" s="331">
        <f>'2008 Usage and Savings'!$L21</f>
        <v>2318813</v>
      </c>
      <c r="G52" s="331">
        <f>'2009 Usage and Savings'!N21</f>
        <v>1219425.3999999999</v>
      </c>
      <c r="H52" s="333">
        <f t="shared" si="9"/>
        <v>641.50900000000001</v>
      </c>
      <c r="I52" s="333">
        <f t="shared" si="9"/>
        <v>681.47109999999998</v>
      </c>
      <c r="J52" s="333">
        <f t="shared" si="9"/>
        <v>2435.1675</v>
      </c>
      <c r="K52" s="333">
        <f t="shared" si="9"/>
        <v>2318.8130000000001</v>
      </c>
      <c r="L52" s="333">
        <f t="shared" si="9"/>
        <v>1219.4253999999999</v>
      </c>
      <c r="M52" s="331">
        <f>'2005 Usage and Savings'!$D21</f>
        <v>502900</v>
      </c>
      <c r="N52" s="331">
        <f>'2006 Usage and Savings'!$D21</f>
        <v>503180.7</v>
      </c>
      <c r="O52" s="331">
        <f>'2007 Usage and Savings'!$D21</f>
        <v>869170.6</v>
      </c>
      <c r="P52" s="331">
        <f>'2008 Usage and Savings'!$D21</f>
        <v>1109009.8</v>
      </c>
      <c r="Q52" s="331">
        <f>'2009 Usage and Savings'!D21</f>
        <v>757104.6</v>
      </c>
      <c r="R52" s="331">
        <f>'2005 Usage and Savings'!$E21</f>
        <v>138609</v>
      </c>
      <c r="S52" s="331">
        <f>'2006 Usage and Savings'!$E21</f>
        <v>178290.4</v>
      </c>
      <c r="T52" s="331">
        <f>'2007 Usage and Savings'!$E21</f>
        <v>1565996.9</v>
      </c>
      <c r="U52" s="331">
        <f>'2008 Usage and Savings'!$E21</f>
        <v>1209803.2</v>
      </c>
      <c r="V52" s="331">
        <f>'2009 Usage and Savings'!E21</f>
        <v>462320.8</v>
      </c>
    </row>
    <row r="53" spans="2:22">
      <c r="B53" s="330" t="s">
        <v>23</v>
      </c>
      <c r="C53" s="331">
        <f>SUM(C34:C52)</f>
        <v>14535703.399999999</v>
      </c>
      <c r="D53" s="331">
        <f t="shared" ref="D53:V53" si="10">SUM(D34:D52)</f>
        <v>19142333.499999996</v>
      </c>
      <c r="E53" s="331">
        <f t="shared" si="10"/>
        <v>35463705.100000009</v>
      </c>
      <c r="F53" s="331">
        <f t="shared" si="10"/>
        <v>39224888.499999993</v>
      </c>
      <c r="G53" s="331">
        <f t="shared" si="10"/>
        <v>27080715.099999998</v>
      </c>
      <c r="H53" s="331">
        <f t="shared" si="10"/>
        <v>14535.7034</v>
      </c>
      <c r="I53" s="331">
        <f t="shared" si="10"/>
        <v>19142.333499999997</v>
      </c>
      <c r="J53" s="331">
        <f t="shared" si="10"/>
        <v>35463.705100000006</v>
      </c>
      <c r="K53" s="331">
        <f t="shared" si="10"/>
        <v>39224.888500000008</v>
      </c>
      <c r="L53" s="331">
        <f t="shared" si="10"/>
        <v>27080.715100000005</v>
      </c>
      <c r="M53" s="331">
        <f t="shared" si="10"/>
        <v>9843816.3000000007</v>
      </c>
      <c r="N53" s="331">
        <f t="shared" si="10"/>
        <v>13775439.600000003</v>
      </c>
      <c r="O53" s="331">
        <f t="shared" si="10"/>
        <v>22343753.000000004</v>
      </c>
      <c r="P53" s="331">
        <f t="shared" si="10"/>
        <v>21299208.600000001</v>
      </c>
      <c r="Q53" s="331">
        <f t="shared" si="10"/>
        <v>16994895.200000003</v>
      </c>
      <c r="R53" s="331">
        <f t="shared" si="10"/>
        <v>4691887.1000000006</v>
      </c>
      <c r="S53" s="331">
        <f t="shared" si="10"/>
        <v>5366893.8999999994</v>
      </c>
      <c r="T53" s="331">
        <f t="shared" si="10"/>
        <v>13119952.100000001</v>
      </c>
      <c r="U53" s="331">
        <f t="shared" si="10"/>
        <v>17925679.899999999</v>
      </c>
      <c r="V53" s="331">
        <f t="shared" si="10"/>
        <v>10085819.900000002</v>
      </c>
    </row>
  </sheetData>
  <mergeCells count="14">
    <mergeCell ref="C5:L5"/>
    <mergeCell ref="M5:Q5"/>
    <mergeCell ref="R5:V5"/>
    <mergeCell ref="C6:G6"/>
    <mergeCell ref="H6:L6"/>
    <mergeCell ref="M6:Q6"/>
    <mergeCell ref="R6:V6"/>
    <mergeCell ref="C31:L31"/>
    <mergeCell ref="M31:Q31"/>
    <mergeCell ref="R31:V31"/>
    <mergeCell ref="C32:G32"/>
    <mergeCell ref="H32:L32"/>
    <mergeCell ref="M32:Q32"/>
    <mergeCell ref="R32:V3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pane xSplit="1" ySplit="2" topLeftCell="B3" activePane="bottomRight" state="frozen"/>
      <selection activeCell="V33" sqref="V33:V50"/>
      <selection pane="topRight" activeCell="V33" sqref="V33:V50"/>
      <selection pane="bottomLeft" activeCell="V33" sqref="V33:V50"/>
      <selection pane="bottomRight" activeCell="L6" sqref="L6:L7"/>
    </sheetView>
  </sheetViews>
  <sheetFormatPr defaultRowHeight="12.75"/>
  <cols>
    <col min="1" max="1" width="17" style="328" customWidth="1"/>
    <col min="2" max="2" width="14.85546875" style="359" customWidth="1"/>
    <col min="3" max="3" width="14.5703125" style="359" customWidth="1"/>
    <col min="4" max="4" width="13.7109375" style="359" customWidth="1"/>
    <col min="5" max="5" width="11.140625" style="359" bestFit="1" customWidth="1"/>
    <col min="6" max="6" width="11.85546875" style="328" customWidth="1"/>
    <col min="7" max="7" width="14.140625" style="328" customWidth="1"/>
    <col min="8" max="8" width="13.42578125" style="328" customWidth="1"/>
    <col min="9" max="9" width="12.85546875" style="328" customWidth="1"/>
    <col min="10" max="10" width="9.140625" style="328"/>
    <col min="11" max="11" width="13.140625" style="328" customWidth="1"/>
    <col min="12" max="12" width="11.28515625" style="328" customWidth="1"/>
    <col min="13" max="16384" width="9.140625" style="328"/>
  </cols>
  <sheetData>
    <row r="1" spans="1:12" ht="13.5" thickBot="1">
      <c r="A1" s="334"/>
      <c r="B1" s="335" t="s">
        <v>433</v>
      </c>
      <c r="C1" s="336"/>
      <c r="D1" s="335" t="s">
        <v>434</v>
      </c>
      <c r="E1" s="337"/>
      <c r="F1" s="338" t="s">
        <v>435</v>
      </c>
      <c r="G1" s="339"/>
      <c r="H1" s="339"/>
      <c r="I1" s="340"/>
    </row>
    <row r="2" spans="1:12" ht="51.75" thickBot="1">
      <c r="A2" s="341" t="s">
        <v>248</v>
      </c>
      <c r="B2" s="342" t="s">
        <v>436</v>
      </c>
      <c r="C2" s="343" t="s">
        <v>24</v>
      </c>
      <c r="D2" s="344" t="s">
        <v>25</v>
      </c>
      <c r="E2" s="345" t="s">
        <v>437</v>
      </c>
      <c r="F2" s="346" t="s">
        <v>438</v>
      </c>
      <c r="G2" s="347" t="s">
        <v>309</v>
      </c>
      <c r="H2" s="347" t="s">
        <v>308</v>
      </c>
      <c r="I2" s="348" t="s">
        <v>307</v>
      </c>
      <c r="K2" s="349" t="s">
        <v>439</v>
      </c>
      <c r="L2" s="349" t="s">
        <v>440</v>
      </c>
    </row>
    <row r="3" spans="1:12" ht="15">
      <c r="A3" s="350" t="s">
        <v>26</v>
      </c>
      <c r="B3" s="351">
        <v>3224724</v>
      </c>
      <c r="C3" s="351">
        <v>4085359</v>
      </c>
      <c r="D3" s="351">
        <v>57204.9</v>
      </c>
      <c r="E3" s="352">
        <v>28096.9</v>
      </c>
      <c r="F3" s="353">
        <v>446</v>
      </c>
      <c r="G3" s="354">
        <f t="shared" ref="G3:G13" si="0">C3/F3</f>
        <v>9159.9977578475336</v>
      </c>
      <c r="H3" s="354">
        <f t="shared" ref="H3:H21" si="1">E3/F3</f>
        <v>62.997533632287002</v>
      </c>
      <c r="I3" s="355">
        <f t="shared" ref="I3:I21" si="2">E3/(C3+E3)</f>
        <v>6.8304852861069939E-3</v>
      </c>
      <c r="K3" s="356">
        <f>B3+C3</f>
        <v>7310083</v>
      </c>
      <c r="L3" s="356">
        <f>D3+E3</f>
        <v>85301.8</v>
      </c>
    </row>
    <row r="4" spans="1:12" ht="15">
      <c r="A4" s="350" t="s">
        <v>27</v>
      </c>
      <c r="B4" s="351">
        <v>0</v>
      </c>
      <c r="C4" s="351">
        <v>15455</v>
      </c>
      <c r="D4" s="351">
        <v>0</v>
      </c>
      <c r="E4" s="352">
        <v>0</v>
      </c>
      <c r="F4" s="353">
        <v>5</v>
      </c>
      <c r="G4" s="354">
        <f t="shared" si="0"/>
        <v>3091</v>
      </c>
      <c r="H4" s="354">
        <f t="shared" si="1"/>
        <v>0</v>
      </c>
      <c r="I4" s="355">
        <f t="shared" si="2"/>
        <v>0</v>
      </c>
      <c r="K4" s="356">
        <f t="shared" ref="K4:K21" si="3">B4+C4</f>
        <v>15455</v>
      </c>
      <c r="L4" s="356">
        <f t="shared" ref="L4:L21" si="4">D4+E4</f>
        <v>0</v>
      </c>
    </row>
    <row r="5" spans="1:12" ht="15">
      <c r="A5" s="350" t="s">
        <v>28</v>
      </c>
      <c r="B5" s="351">
        <v>272623162</v>
      </c>
      <c r="C5" s="351">
        <v>94943586</v>
      </c>
      <c r="D5" s="351">
        <v>3503000</v>
      </c>
      <c r="E5" s="352">
        <v>1444000</v>
      </c>
      <c r="F5" s="353">
        <v>16060</v>
      </c>
      <c r="G5" s="354">
        <f t="shared" si="0"/>
        <v>5911.8048567870483</v>
      </c>
      <c r="H5" s="354">
        <f t="shared" si="1"/>
        <v>89.912826899128262</v>
      </c>
      <c r="I5" s="355">
        <f t="shared" si="2"/>
        <v>1.4981182327774034E-2</v>
      </c>
      <c r="K5" s="356">
        <f t="shared" si="3"/>
        <v>367566748</v>
      </c>
      <c r="L5" s="356">
        <f t="shared" si="4"/>
        <v>4947000</v>
      </c>
    </row>
    <row r="6" spans="1:12" ht="15">
      <c r="A6" s="350" t="s">
        <v>29</v>
      </c>
      <c r="B6" s="351">
        <v>3072023</v>
      </c>
      <c r="C6" s="351">
        <v>15915180</v>
      </c>
      <c r="D6" s="351">
        <v>14411.5</v>
      </c>
      <c r="E6" s="352">
        <v>151223.6</v>
      </c>
      <c r="F6" s="353">
        <v>1728</v>
      </c>
      <c r="G6" s="354">
        <f t="shared" si="0"/>
        <v>9210.1736111111113</v>
      </c>
      <c r="H6" s="354">
        <f t="shared" si="1"/>
        <v>87.513657407407408</v>
      </c>
      <c r="I6" s="355">
        <f t="shared" si="2"/>
        <v>9.4124113750011871E-3</v>
      </c>
      <c r="K6" s="356">
        <f t="shared" si="3"/>
        <v>18987203</v>
      </c>
      <c r="L6" s="356">
        <f t="shared" si="4"/>
        <v>165635.1</v>
      </c>
    </row>
    <row r="7" spans="1:12" ht="15">
      <c r="A7" s="350" t="s">
        <v>30</v>
      </c>
      <c r="B7" s="351">
        <v>82075028</v>
      </c>
      <c r="C7" s="351">
        <v>51067275</v>
      </c>
      <c r="D7" s="351">
        <v>278200</v>
      </c>
      <c r="E7" s="352">
        <v>569949</v>
      </c>
      <c r="F7" s="353">
        <v>7035</v>
      </c>
      <c r="G7" s="354">
        <v>7259</v>
      </c>
      <c r="H7" s="354">
        <v>81</v>
      </c>
      <c r="I7" s="355">
        <v>1.0999999999999999E-2</v>
      </c>
      <c r="K7" s="356">
        <f t="shared" si="3"/>
        <v>133142303</v>
      </c>
      <c r="L7" s="356">
        <f t="shared" si="4"/>
        <v>848149</v>
      </c>
    </row>
    <row r="8" spans="1:12" ht="15">
      <c r="A8" s="350" t="s">
        <v>31</v>
      </c>
      <c r="B8" s="351">
        <v>34709221</v>
      </c>
      <c r="C8" s="351">
        <v>25388010</v>
      </c>
      <c r="D8" s="351">
        <v>241229.1</v>
      </c>
      <c r="E8" s="352">
        <v>324442</v>
      </c>
      <c r="F8" s="353">
        <v>3186</v>
      </c>
      <c r="G8" s="354">
        <f t="shared" si="0"/>
        <v>7968.6158192090397</v>
      </c>
      <c r="H8" s="354">
        <f t="shared" si="1"/>
        <v>101.83364720652857</v>
      </c>
      <c r="I8" s="355">
        <f t="shared" si="2"/>
        <v>1.26180886988141E-2</v>
      </c>
      <c r="K8" s="356">
        <f t="shared" si="3"/>
        <v>60097231</v>
      </c>
      <c r="L8" s="356">
        <f t="shared" si="4"/>
        <v>565671.1</v>
      </c>
    </row>
    <row r="9" spans="1:12" ht="15">
      <c r="A9" s="350" t="s">
        <v>32</v>
      </c>
      <c r="B9" s="351">
        <v>25359762</v>
      </c>
      <c r="C9" s="351">
        <v>32840254</v>
      </c>
      <c r="D9" s="351">
        <v>1756133</v>
      </c>
      <c r="E9" s="352">
        <v>400967.8</v>
      </c>
      <c r="F9" s="353">
        <v>4606</v>
      </c>
      <c r="G9" s="354">
        <f t="shared" si="0"/>
        <v>7129.8858011289622</v>
      </c>
      <c r="H9" s="354">
        <f t="shared" si="1"/>
        <v>87.053365175857579</v>
      </c>
      <c r="I9" s="355">
        <f t="shared" si="2"/>
        <v>1.2062366492196745E-2</v>
      </c>
      <c r="K9" s="356">
        <f t="shared" si="3"/>
        <v>58200016</v>
      </c>
      <c r="L9" s="356">
        <f t="shared" si="4"/>
        <v>2157100.7999999998</v>
      </c>
    </row>
    <row r="10" spans="1:12" ht="15">
      <c r="A10" s="350" t="s">
        <v>33</v>
      </c>
      <c r="B10" s="351">
        <v>18233874</v>
      </c>
      <c r="C10" s="351">
        <v>13277460</v>
      </c>
      <c r="D10" s="351">
        <v>598735.4</v>
      </c>
      <c r="E10" s="352">
        <v>90409.4</v>
      </c>
      <c r="F10" s="353">
        <v>1858</v>
      </c>
      <c r="G10" s="354">
        <f t="shared" si="0"/>
        <v>7146.103336921421</v>
      </c>
      <c r="H10" s="354">
        <f t="shared" si="1"/>
        <v>48.659526372443487</v>
      </c>
      <c r="I10" s="355">
        <f t="shared" si="2"/>
        <v>6.763186959322029E-3</v>
      </c>
      <c r="K10" s="356">
        <f t="shared" si="3"/>
        <v>31511334</v>
      </c>
      <c r="L10" s="356">
        <f t="shared" si="4"/>
        <v>689144.8</v>
      </c>
    </row>
    <row r="11" spans="1:12" ht="15">
      <c r="A11" s="350" t="s">
        <v>34</v>
      </c>
      <c r="B11" s="351">
        <v>576060</v>
      </c>
      <c r="C11" s="351">
        <v>5636086</v>
      </c>
      <c r="D11" s="351">
        <v>19558.2</v>
      </c>
      <c r="E11" s="352">
        <v>69231.199999999997</v>
      </c>
      <c r="F11" s="353">
        <v>804</v>
      </c>
      <c r="G11" s="354">
        <f t="shared" si="0"/>
        <v>7010.0572139303486</v>
      </c>
      <c r="H11" s="354">
        <f t="shared" si="1"/>
        <v>86.108457711442782</v>
      </c>
      <c r="I11" s="355">
        <f t="shared" si="2"/>
        <v>1.2134504984227695E-2</v>
      </c>
      <c r="K11" s="356">
        <f t="shared" si="3"/>
        <v>6212146</v>
      </c>
      <c r="L11" s="356">
        <f t="shared" si="4"/>
        <v>88789.4</v>
      </c>
    </row>
    <row r="12" spans="1:12" ht="15">
      <c r="A12" s="350" t="s">
        <v>35</v>
      </c>
      <c r="B12" s="351">
        <v>5285212</v>
      </c>
      <c r="C12" s="351">
        <v>15594547</v>
      </c>
      <c r="D12" s="351">
        <v>7421.1</v>
      </c>
      <c r="E12" s="352">
        <v>168930.7</v>
      </c>
      <c r="F12" s="353">
        <v>1916</v>
      </c>
      <c r="G12" s="354">
        <f t="shared" si="0"/>
        <v>8139.1163883089766</v>
      </c>
      <c r="H12" s="354">
        <f t="shared" si="1"/>
        <v>88.16842379958247</v>
      </c>
      <c r="I12" s="355">
        <f t="shared" si="2"/>
        <v>1.0716588256409943E-2</v>
      </c>
      <c r="K12" s="356">
        <f t="shared" si="3"/>
        <v>20879759</v>
      </c>
      <c r="L12" s="356">
        <f t="shared" si="4"/>
        <v>176351.80000000002</v>
      </c>
    </row>
    <row r="13" spans="1:12" ht="15">
      <c r="A13" s="350" t="s">
        <v>36</v>
      </c>
      <c r="B13" s="351">
        <v>33326640</v>
      </c>
      <c r="C13" s="351">
        <v>32044493</v>
      </c>
      <c r="D13" s="351">
        <v>41746.9</v>
      </c>
      <c r="E13" s="352">
        <v>329395.3</v>
      </c>
      <c r="F13" s="353">
        <v>4189</v>
      </c>
      <c r="G13" s="354">
        <f t="shared" si="0"/>
        <v>7649.6760563380285</v>
      </c>
      <c r="H13" s="354">
        <f t="shared" si="1"/>
        <v>78.633396992122229</v>
      </c>
      <c r="I13" s="355">
        <f t="shared" si="2"/>
        <v>1.0174721582640414E-2</v>
      </c>
      <c r="K13" s="356">
        <f t="shared" si="3"/>
        <v>65371133</v>
      </c>
      <c r="L13" s="356">
        <f t="shared" si="4"/>
        <v>371142.2</v>
      </c>
    </row>
    <row r="14" spans="1:12" ht="15">
      <c r="A14" s="350" t="s">
        <v>37</v>
      </c>
      <c r="B14" s="351">
        <v>5148763</v>
      </c>
      <c r="C14" s="351">
        <v>13334210</v>
      </c>
      <c r="D14" s="351">
        <v>35583.300000000003</v>
      </c>
      <c r="E14" s="352">
        <v>138929.1</v>
      </c>
      <c r="F14" s="353">
        <v>1822</v>
      </c>
      <c r="G14" s="354">
        <f>C14/F14</f>
        <v>7318.44676180022</v>
      </c>
      <c r="H14" s="354">
        <f t="shared" si="1"/>
        <v>76.25087815587267</v>
      </c>
      <c r="I14" s="355">
        <f t="shared" si="2"/>
        <v>1.0311561319811506E-2</v>
      </c>
      <c r="K14" s="356">
        <f t="shared" si="3"/>
        <v>18482973</v>
      </c>
      <c r="L14" s="356">
        <f t="shared" si="4"/>
        <v>174512.40000000002</v>
      </c>
    </row>
    <row r="15" spans="1:12" ht="15">
      <c r="A15" s="350" t="s">
        <v>38</v>
      </c>
      <c r="B15" s="351">
        <v>27278229</v>
      </c>
      <c r="C15" s="351">
        <v>25390065</v>
      </c>
      <c r="D15" s="351">
        <v>411088.3</v>
      </c>
      <c r="E15" s="352">
        <v>236121.4</v>
      </c>
      <c r="F15" s="353">
        <v>2764</v>
      </c>
      <c r="G15" s="354">
        <f t="shared" ref="G15:G21" si="5">C15/F15</f>
        <v>9185.9858900144718</v>
      </c>
      <c r="H15" s="354">
        <f t="shared" si="1"/>
        <v>85.427424023154842</v>
      </c>
      <c r="I15" s="355">
        <f t="shared" si="2"/>
        <v>9.2140670607156749E-3</v>
      </c>
      <c r="K15" s="356">
        <f t="shared" si="3"/>
        <v>52668294</v>
      </c>
      <c r="L15" s="356">
        <f t="shared" si="4"/>
        <v>647209.69999999995</v>
      </c>
    </row>
    <row r="16" spans="1:12" ht="15">
      <c r="A16" s="350" t="s">
        <v>39</v>
      </c>
      <c r="B16" s="351">
        <v>165900101</v>
      </c>
      <c r="C16" s="351">
        <v>52784391</v>
      </c>
      <c r="D16" s="351">
        <v>1805395.6</v>
      </c>
      <c r="E16" s="352">
        <v>772967.3</v>
      </c>
      <c r="F16" s="353">
        <v>7681</v>
      </c>
      <c r="G16" s="354">
        <f t="shared" si="5"/>
        <v>6872.0727769821642</v>
      </c>
      <c r="H16" s="354">
        <f t="shared" si="1"/>
        <v>100.63368051035022</v>
      </c>
      <c r="I16" s="355">
        <f t="shared" si="2"/>
        <v>1.4432513561819947E-2</v>
      </c>
      <c r="K16" s="356">
        <f t="shared" si="3"/>
        <v>218684492</v>
      </c>
      <c r="L16" s="356">
        <f t="shared" si="4"/>
        <v>2578362.9000000004</v>
      </c>
    </row>
    <row r="17" spans="1:12" ht="15">
      <c r="A17" s="350" t="s">
        <v>40</v>
      </c>
      <c r="B17" s="351">
        <v>444383</v>
      </c>
      <c r="C17" s="351">
        <v>1877977</v>
      </c>
      <c r="D17" s="351">
        <v>0</v>
      </c>
      <c r="E17" s="352">
        <v>5974.5</v>
      </c>
      <c r="F17" s="353">
        <v>297</v>
      </c>
      <c r="G17" s="354">
        <f t="shared" si="5"/>
        <v>6323.1548821548822</v>
      </c>
      <c r="H17" s="354">
        <f t="shared" si="1"/>
        <v>20.116161616161616</v>
      </c>
      <c r="I17" s="355">
        <f t="shared" si="2"/>
        <v>3.1712599820112142E-3</v>
      </c>
      <c r="K17" s="356">
        <f t="shared" si="3"/>
        <v>2322360</v>
      </c>
      <c r="L17" s="356">
        <f t="shared" si="4"/>
        <v>5974.5</v>
      </c>
    </row>
    <row r="18" spans="1:12" ht="15">
      <c r="A18" s="350" t="s">
        <v>41</v>
      </c>
      <c r="B18" s="351">
        <v>1164848</v>
      </c>
      <c r="C18" s="351">
        <v>9830397</v>
      </c>
      <c r="D18" s="351">
        <v>1371.1</v>
      </c>
      <c r="E18" s="352">
        <v>97742.1</v>
      </c>
      <c r="F18" s="353">
        <v>1239</v>
      </c>
      <c r="G18" s="354">
        <f t="shared" si="5"/>
        <v>7934.1380145278454</v>
      </c>
      <c r="H18" s="354">
        <f t="shared" si="1"/>
        <v>78.887893462469734</v>
      </c>
      <c r="I18" s="355">
        <f t="shared" si="2"/>
        <v>9.8449567452172388E-3</v>
      </c>
      <c r="K18" s="356">
        <f t="shared" si="3"/>
        <v>10995245</v>
      </c>
      <c r="L18" s="356">
        <f t="shared" si="4"/>
        <v>99113.200000000012</v>
      </c>
    </row>
    <row r="19" spans="1:12" ht="15">
      <c r="A19" s="350" t="s">
        <v>42</v>
      </c>
      <c r="B19" s="351">
        <v>606775</v>
      </c>
      <c r="C19" s="351">
        <v>6468373</v>
      </c>
      <c r="D19" s="351">
        <v>5139.6000000000004</v>
      </c>
      <c r="E19" s="352">
        <v>50268.9</v>
      </c>
      <c r="F19" s="353">
        <v>815</v>
      </c>
      <c r="G19" s="354">
        <f t="shared" si="5"/>
        <v>7936.6539877300611</v>
      </c>
      <c r="H19" s="354">
        <f t="shared" si="1"/>
        <v>61.679631901840494</v>
      </c>
      <c r="I19" s="355">
        <f t="shared" si="2"/>
        <v>7.71156028681373E-3</v>
      </c>
      <c r="K19" s="356">
        <f t="shared" si="3"/>
        <v>7075148</v>
      </c>
      <c r="L19" s="356">
        <f t="shared" si="4"/>
        <v>55408.5</v>
      </c>
    </row>
    <row r="20" spans="1:12" ht="15">
      <c r="A20" s="350" t="s">
        <v>43</v>
      </c>
      <c r="B20" s="351">
        <v>99699783</v>
      </c>
      <c r="C20" s="351">
        <v>26474900</v>
      </c>
      <c r="D20" s="351">
        <v>842898.3</v>
      </c>
      <c r="E20" s="352">
        <v>244577.9</v>
      </c>
      <c r="F20" s="353">
        <v>3409</v>
      </c>
      <c r="G20" s="354">
        <f t="shared" si="5"/>
        <v>7766.1777647403933</v>
      </c>
      <c r="H20" s="354">
        <f t="shared" si="1"/>
        <v>71.744763860369602</v>
      </c>
      <c r="I20" s="355">
        <f t="shared" si="2"/>
        <v>9.1535433781810543E-3</v>
      </c>
      <c r="K20" s="356">
        <f t="shared" si="3"/>
        <v>126174683</v>
      </c>
      <c r="L20" s="356">
        <f t="shared" si="4"/>
        <v>1087476.2</v>
      </c>
    </row>
    <row r="21" spans="1:12" ht="15.75" thickBot="1">
      <c r="A21" s="350" t="s">
        <v>44</v>
      </c>
      <c r="B21" s="351">
        <v>25328826</v>
      </c>
      <c r="C21" s="351">
        <v>15691931</v>
      </c>
      <c r="D21" s="351">
        <v>502900</v>
      </c>
      <c r="E21" s="352">
        <v>138609</v>
      </c>
      <c r="F21" s="353">
        <v>2988</v>
      </c>
      <c r="G21" s="354">
        <f t="shared" si="5"/>
        <v>5251.6502677376175</v>
      </c>
      <c r="H21" s="354">
        <f t="shared" si="1"/>
        <v>46.388554216867469</v>
      </c>
      <c r="I21" s="355">
        <f t="shared" si="2"/>
        <v>8.7557973385620456E-3</v>
      </c>
      <c r="K21" s="356">
        <f t="shared" si="3"/>
        <v>41020757</v>
      </c>
      <c r="L21" s="356">
        <f t="shared" si="4"/>
        <v>641509</v>
      </c>
    </row>
    <row r="22" spans="1:12">
      <c r="A22" s="357" t="s">
        <v>23</v>
      </c>
      <c r="B22" s="358"/>
      <c r="C22" s="358"/>
      <c r="D22" s="359">
        <f>SUM(D3:D21)/1000</f>
        <v>10122.016300000001</v>
      </c>
      <c r="E22" s="359">
        <f>SUM(E3:E21)/1000</f>
        <v>5261.8361000000004</v>
      </c>
      <c r="F22" s="356"/>
    </row>
    <row r="23" spans="1:12">
      <c r="A23" s="360"/>
      <c r="B23" s="361"/>
      <c r="C23" s="361"/>
    </row>
    <row r="24" spans="1:12">
      <c r="A24" s="360"/>
      <c r="B24" s="361"/>
      <c r="C24" s="361"/>
    </row>
    <row r="25" spans="1:12">
      <c r="A25" s="360"/>
      <c r="B25" s="361"/>
    </row>
    <row r="26" spans="1:12">
      <c r="A26" s="362" t="s">
        <v>441</v>
      </c>
      <c r="B26" s="359">
        <f>SUBTOTAL(9,B3:B25)</f>
        <v>804057414</v>
      </c>
      <c r="C26" s="359">
        <f>SUBTOTAL(9,C3:C25)</f>
        <v>442659949</v>
      </c>
      <c r="D26" s="359">
        <f>SUBTOTAL(9,D3:D25)</f>
        <v>10132138.316300001</v>
      </c>
      <c r="E26" s="359">
        <f>SUBTOTAL(9,E3:E25)</f>
        <v>5267097.9361000005</v>
      </c>
      <c r="F26" s="356">
        <f>D26+E26</f>
        <v>15399236.252400002</v>
      </c>
    </row>
    <row r="27" spans="1:12">
      <c r="A27" s="360"/>
      <c r="B27" s="361"/>
    </row>
    <row r="28" spans="1:12">
      <c r="A28" s="360"/>
      <c r="B28" s="361"/>
    </row>
    <row r="29" spans="1:12">
      <c r="A29" s="360"/>
      <c r="B29" s="361"/>
    </row>
  </sheetData>
  <autoFilter ref="A2:I22"/>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pane xSplit="1" ySplit="2" topLeftCell="B3" activePane="bottomRight" state="frozen"/>
      <selection activeCell="V33" sqref="V33:V50"/>
      <selection pane="topRight" activeCell="V33" sqref="V33:V50"/>
      <selection pane="bottomLeft" activeCell="V33" sqref="V33:V50"/>
      <selection pane="bottomRight" activeCell="L6" sqref="L6:L7"/>
    </sheetView>
  </sheetViews>
  <sheetFormatPr defaultRowHeight="12.75"/>
  <cols>
    <col min="1" max="1" width="20" style="328" customWidth="1"/>
    <col min="2" max="2" width="14.5703125" style="356" customWidth="1"/>
    <col min="3" max="5" width="13.5703125" style="356" customWidth="1"/>
    <col min="6" max="6" width="11.85546875" style="328" customWidth="1"/>
    <col min="7" max="7" width="14.140625" style="328" customWidth="1"/>
    <col min="8" max="8" width="13.42578125" style="328" customWidth="1"/>
    <col min="9" max="9" width="12.85546875" style="328" customWidth="1"/>
    <col min="10" max="16384" width="9.140625" style="328"/>
  </cols>
  <sheetData>
    <row r="1" spans="1:12" ht="13.5" thickBot="1">
      <c r="A1" s="334"/>
      <c r="B1" s="335" t="s">
        <v>442</v>
      </c>
      <c r="C1" s="336"/>
      <c r="D1" s="335" t="s">
        <v>443</v>
      </c>
      <c r="E1" s="337"/>
      <c r="F1" s="338" t="s">
        <v>444</v>
      </c>
      <c r="G1" s="339"/>
      <c r="H1" s="339"/>
      <c r="I1" s="340"/>
    </row>
    <row r="2" spans="1:12" ht="51.75" thickBot="1">
      <c r="A2" s="341" t="s">
        <v>248</v>
      </c>
      <c r="B2" s="342" t="s">
        <v>436</v>
      </c>
      <c r="C2" s="343" t="s">
        <v>24</v>
      </c>
      <c r="D2" s="344" t="s">
        <v>25</v>
      </c>
      <c r="E2" s="345" t="s">
        <v>437</v>
      </c>
      <c r="F2" s="346" t="s">
        <v>438</v>
      </c>
      <c r="G2" s="347" t="s">
        <v>309</v>
      </c>
      <c r="H2" s="347" t="s">
        <v>308</v>
      </c>
      <c r="I2" s="348" t="s">
        <v>307</v>
      </c>
      <c r="K2" s="349" t="s">
        <v>439</v>
      </c>
      <c r="L2" s="349" t="s">
        <v>440</v>
      </c>
    </row>
    <row r="3" spans="1:12" ht="15">
      <c r="A3" s="363" t="s">
        <v>26</v>
      </c>
      <c r="B3" s="364">
        <v>3028324</v>
      </c>
      <c r="C3" s="364">
        <v>4050411</v>
      </c>
      <c r="D3" s="364">
        <v>4481.8</v>
      </c>
      <c r="E3" s="365">
        <v>19216.099999999999</v>
      </c>
      <c r="F3" s="353">
        <v>446</v>
      </c>
      <c r="G3" s="354">
        <f t="shared" ref="G3:G21" si="0">C3/F3</f>
        <v>9081.6390134529156</v>
      </c>
      <c r="H3" s="354">
        <f t="shared" ref="H3:H21" si="1">E3/F3</f>
        <v>43.085426008968604</v>
      </c>
      <c r="I3" s="355">
        <f t="shared" ref="I3:I21" si="2">E3/(C3+E3)</f>
        <v>4.7218331134073676E-3</v>
      </c>
      <c r="K3" s="356">
        <f>B3+C3</f>
        <v>7078735</v>
      </c>
      <c r="L3" s="356">
        <f>D3+E3</f>
        <v>23697.899999999998</v>
      </c>
    </row>
    <row r="4" spans="1:12" ht="15">
      <c r="A4" s="363" t="s">
        <v>27</v>
      </c>
      <c r="B4" s="364">
        <v>0</v>
      </c>
      <c r="C4" s="364">
        <v>15130</v>
      </c>
      <c r="D4" s="364">
        <v>0</v>
      </c>
      <c r="E4" s="365">
        <v>550.4</v>
      </c>
      <c r="F4" s="353">
        <v>5</v>
      </c>
      <c r="G4" s="354">
        <f t="shared" si="0"/>
        <v>3026</v>
      </c>
      <c r="H4" s="354">
        <f t="shared" si="1"/>
        <v>110.08</v>
      </c>
      <c r="I4" s="355">
        <f t="shared" si="2"/>
        <v>3.5101145378944411E-2</v>
      </c>
      <c r="K4" s="356">
        <f t="shared" ref="K4:K21" si="3">B4+C4</f>
        <v>15130</v>
      </c>
      <c r="L4" s="356">
        <f t="shared" ref="L4:L21" si="4">D4+E4</f>
        <v>550.4</v>
      </c>
    </row>
    <row r="5" spans="1:12" ht="15">
      <c r="A5" s="363" t="s">
        <v>28</v>
      </c>
      <c r="B5" s="364">
        <v>267879622</v>
      </c>
      <c r="C5" s="364">
        <v>90793308</v>
      </c>
      <c r="D5" s="364">
        <v>5600000</v>
      </c>
      <c r="E5" s="365">
        <v>1167000</v>
      </c>
      <c r="F5" s="353">
        <v>16060</v>
      </c>
      <c r="G5" s="354">
        <f t="shared" si="0"/>
        <v>5653.3815691158161</v>
      </c>
      <c r="H5" s="354">
        <f t="shared" si="1"/>
        <v>72.665006226650064</v>
      </c>
      <c r="I5" s="355">
        <f t="shared" si="2"/>
        <v>1.2690257627236308E-2</v>
      </c>
      <c r="K5" s="356">
        <f t="shared" si="3"/>
        <v>358672930</v>
      </c>
      <c r="L5" s="356">
        <f t="shared" si="4"/>
        <v>6767000</v>
      </c>
    </row>
    <row r="6" spans="1:12" ht="15">
      <c r="A6" s="363" t="s">
        <v>29</v>
      </c>
      <c r="B6" s="364">
        <v>3092542</v>
      </c>
      <c r="C6" s="364">
        <v>15624950</v>
      </c>
      <c r="D6" s="364">
        <v>42219.9</v>
      </c>
      <c r="E6" s="365">
        <v>311032.7</v>
      </c>
      <c r="F6" s="353">
        <v>1728</v>
      </c>
      <c r="G6" s="354">
        <f t="shared" si="0"/>
        <v>9042.2164351851843</v>
      </c>
      <c r="H6" s="354">
        <f t="shared" si="1"/>
        <v>179.99577546296297</v>
      </c>
      <c r="I6" s="355">
        <f t="shared" si="2"/>
        <v>1.9517635395023367E-2</v>
      </c>
      <c r="K6" s="356">
        <f t="shared" si="3"/>
        <v>18717492</v>
      </c>
      <c r="L6" s="356">
        <f t="shared" si="4"/>
        <v>353252.60000000003</v>
      </c>
    </row>
    <row r="7" spans="1:12" ht="15">
      <c r="A7" s="350" t="s">
        <v>30</v>
      </c>
      <c r="B7" s="364">
        <v>83916155</v>
      </c>
      <c r="C7" s="364">
        <v>49880012</v>
      </c>
      <c r="D7" s="364">
        <v>756927</v>
      </c>
      <c r="E7" s="365">
        <v>471915</v>
      </c>
      <c r="F7" s="353">
        <v>7035</v>
      </c>
      <c r="G7" s="354">
        <v>7090</v>
      </c>
      <c r="H7" s="354">
        <v>67</v>
      </c>
      <c r="I7" s="355">
        <v>8.9999999999999993E-3</v>
      </c>
      <c r="K7" s="356">
        <f t="shared" si="3"/>
        <v>133796167</v>
      </c>
      <c r="L7" s="356">
        <f t="shared" si="4"/>
        <v>1228842</v>
      </c>
    </row>
    <row r="8" spans="1:12" ht="15">
      <c r="A8" s="363" t="s">
        <v>31</v>
      </c>
      <c r="B8" s="364">
        <v>32493922</v>
      </c>
      <c r="C8" s="364">
        <v>25384723</v>
      </c>
      <c r="D8" s="364">
        <v>587575.6</v>
      </c>
      <c r="E8" s="365">
        <v>312874.3</v>
      </c>
      <c r="F8" s="353">
        <v>3186</v>
      </c>
      <c r="G8" s="354">
        <f t="shared" si="0"/>
        <v>7967.5841180163216</v>
      </c>
      <c r="H8" s="354">
        <f t="shared" si="1"/>
        <v>98.202856246076578</v>
      </c>
      <c r="I8" s="355">
        <f t="shared" si="2"/>
        <v>1.2175235542351658E-2</v>
      </c>
      <c r="K8" s="356">
        <f t="shared" si="3"/>
        <v>57878645</v>
      </c>
      <c r="L8" s="356">
        <f t="shared" si="4"/>
        <v>900449.89999999991</v>
      </c>
    </row>
    <row r="9" spans="1:12" ht="15">
      <c r="A9" s="363" t="s">
        <v>32</v>
      </c>
      <c r="B9" s="364">
        <v>24540784</v>
      </c>
      <c r="C9" s="364">
        <v>32120710</v>
      </c>
      <c r="D9" s="364">
        <v>3035579.6</v>
      </c>
      <c r="E9" s="365">
        <v>444343.9</v>
      </c>
      <c r="F9" s="353">
        <v>4606</v>
      </c>
      <c r="G9" s="354">
        <f t="shared" si="0"/>
        <v>6973.6669561441595</v>
      </c>
      <c r="H9" s="354">
        <f t="shared" si="1"/>
        <v>96.470668693009117</v>
      </c>
      <c r="I9" s="355">
        <f t="shared" si="2"/>
        <v>1.3644807755100938E-2</v>
      </c>
      <c r="K9" s="356">
        <f t="shared" si="3"/>
        <v>56661494</v>
      </c>
      <c r="L9" s="356">
        <f t="shared" si="4"/>
        <v>3479923.5</v>
      </c>
    </row>
    <row r="10" spans="1:12" ht="15">
      <c r="A10" s="363" t="s">
        <v>33</v>
      </c>
      <c r="B10" s="364">
        <v>20591352</v>
      </c>
      <c r="C10" s="364">
        <v>13778271</v>
      </c>
      <c r="D10" s="364">
        <v>293757.3</v>
      </c>
      <c r="E10" s="365">
        <v>207797.9</v>
      </c>
      <c r="F10" s="353">
        <v>1858</v>
      </c>
      <c r="G10" s="354">
        <f t="shared" si="0"/>
        <v>7415.6463939720134</v>
      </c>
      <c r="H10" s="354">
        <f t="shared" si="1"/>
        <v>111.83955866523142</v>
      </c>
      <c r="I10" s="355">
        <f t="shared" si="2"/>
        <v>1.4857491514288192E-2</v>
      </c>
      <c r="K10" s="356">
        <f t="shared" si="3"/>
        <v>34369623</v>
      </c>
      <c r="L10" s="356">
        <f t="shared" si="4"/>
        <v>501555.19999999995</v>
      </c>
    </row>
    <row r="11" spans="1:12" ht="15">
      <c r="A11" s="363" t="s">
        <v>34</v>
      </c>
      <c r="B11" s="364">
        <v>573491</v>
      </c>
      <c r="C11" s="364">
        <v>5769297</v>
      </c>
      <c r="D11" s="364">
        <v>0</v>
      </c>
      <c r="E11" s="365">
        <v>107037.3</v>
      </c>
      <c r="F11" s="353">
        <v>804</v>
      </c>
      <c r="G11" s="354">
        <f t="shared" si="0"/>
        <v>7175.7425373134329</v>
      </c>
      <c r="H11" s="354">
        <f t="shared" si="1"/>
        <v>133.13097014925373</v>
      </c>
      <c r="I11" s="355">
        <f t="shared" si="2"/>
        <v>1.8214978000826127E-2</v>
      </c>
      <c r="K11" s="356">
        <f t="shared" si="3"/>
        <v>6342788</v>
      </c>
      <c r="L11" s="356">
        <f t="shared" si="4"/>
        <v>107037.3</v>
      </c>
    </row>
    <row r="12" spans="1:12" ht="15">
      <c r="A12" s="363" t="s">
        <v>35</v>
      </c>
      <c r="B12" s="364">
        <v>5127987</v>
      </c>
      <c r="C12" s="364">
        <v>15641526</v>
      </c>
      <c r="D12" s="364">
        <v>67561</v>
      </c>
      <c r="E12" s="365">
        <v>158138.6</v>
      </c>
      <c r="F12" s="353">
        <v>1916</v>
      </c>
      <c r="G12" s="354">
        <f t="shared" si="0"/>
        <v>8163.6356993736954</v>
      </c>
      <c r="H12" s="354">
        <f t="shared" si="1"/>
        <v>82.535803757828816</v>
      </c>
      <c r="I12" s="355">
        <f t="shared" si="2"/>
        <v>1.000898462110392E-2</v>
      </c>
      <c r="K12" s="356">
        <f t="shared" si="3"/>
        <v>20769513</v>
      </c>
      <c r="L12" s="356">
        <f t="shared" si="4"/>
        <v>225699.6</v>
      </c>
    </row>
    <row r="13" spans="1:12" ht="15">
      <c r="A13" s="363" t="s">
        <v>36</v>
      </c>
      <c r="B13" s="364">
        <v>34135731</v>
      </c>
      <c r="C13" s="364">
        <v>31531293</v>
      </c>
      <c r="D13" s="364">
        <v>251128.4</v>
      </c>
      <c r="E13" s="365">
        <v>308225.7</v>
      </c>
      <c r="F13" s="353">
        <v>4189</v>
      </c>
      <c r="G13" s="354">
        <f t="shared" si="0"/>
        <v>7527.1647171162567</v>
      </c>
      <c r="H13" s="354">
        <f t="shared" si="1"/>
        <v>73.579780377178324</v>
      </c>
      <c r="I13" s="355">
        <f t="shared" si="2"/>
        <v>9.6806017359803882E-3</v>
      </c>
      <c r="K13" s="356">
        <f t="shared" si="3"/>
        <v>65667024</v>
      </c>
      <c r="L13" s="356">
        <f t="shared" si="4"/>
        <v>559354.1</v>
      </c>
    </row>
    <row r="14" spans="1:12" ht="15">
      <c r="A14" s="363" t="s">
        <v>37</v>
      </c>
      <c r="B14" s="364">
        <v>5278880</v>
      </c>
      <c r="C14" s="364">
        <v>13303991</v>
      </c>
      <c r="D14" s="364">
        <v>42721.5</v>
      </c>
      <c r="E14" s="365">
        <v>170089.8</v>
      </c>
      <c r="F14" s="353">
        <v>1822</v>
      </c>
      <c r="G14" s="354">
        <f t="shared" si="0"/>
        <v>7301.8611416026342</v>
      </c>
      <c r="H14" s="354">
        <f t="shared" si="1"/>
        <v>93.353347969264533</v>
      </c>
      <c r="I14" s="355">
        <f t="shared" si="2"/>
        <v>1.2623480779482929E-2</v>
      </c>
      <c r="K14" s="356">
        <f t="shared" si="3"/>
        <v>18582871</v>
      </c>
      <c r="L14" s="356">
        <f t="shared" si="4"/>
        <v>212811.3</v>
      </c>
    </row>
    <row r="15" spans="1:12" ht="15">
      <c r="A15" s="363" t="s">
        <v>38</v>
      </c>
      <c r="B15" s="364">
        <v>27514420</v>
      </c>
      <c r="C15" s="364">
        <v>25457268</v>
      </c>
      <c r="D15" s="364">
        <v>838913.4</v>
      </c>
      <c r="E15" s="365">
        <v>404534.8</v>
      </c>
      <c r="F15" s="353">
        <v>2764</v>
      </c>
      <c r="G15" s="354">
        <f t="shared" si="0"/>
        <v>9210.2995658465989</v>
      </c>
      <c r="H15" s="354">
        <f t="shared" si="1"/>
        <v>146.35846599131693</v>
      </c>
      <c r="I15" s="355">
        <f t="shared" si="2"/>
        <v>1.5642173251742525E-2</v>
      </c>
      <c r="K15" s="356">
        <f t="shared" si="3"/>
        <v>52971688</v>
      </c>
      <c r="L15" s="356">
        <f t="shared" si="4"/>
        <v>1243448.2</v>
      </c>
    </row>
    <row r="16" spans="1:12" ht="15">
      <c r="A16" s="363" t="s">
        <v>39</v>
      </c>
      <c r="B16" s="364">
        <v>172756420</v>
      </c>
      <c r="C16" s="364">
        <v>52074497</v>
      </c>
      <c r="D16" s="364">
        <v>1926068.5</v>
      </c>
      <c r="E16" s="365">
        <v>988662.4</v>
      </c>
      <c r="F16" s="353">
        <v>7681</v>
      </c>
      <c r="G16" s="354">
        <f t="shared" si="0"/>
        <v>6779.6506965238905</v>
      </c>
      <c r="H16" s="354">
        <f t="shared" si="1"/>
        <v>128.71532352558262</v>
      </c>
      <c r="I16" s="355">
        <f t="shared" si="2"/>
        <v>1.8631804272099185E-2</v>
      </c>
      <c r="K16" s="356">
        <f t="shared" si="3"/>
        <v>224830917</v>
      </c>
      <c r="L16" s="356">
        <f t="shared" si="4"/>
        <v>2914730.9</v>
      </c>
    </row>
    <row r="17" spans="1:12" ht="15">
      <c r="A17" s="363" t="s">
        <v>40</v>
      </c>
      <c r="B17" s="364">
        <v>477688</v>
      </c>
      <c r="C17" s="364">
        <v>2076769</v>
      </c>
      <c r="D17" s="364">
        <v>0</v>
      </c>
      <c r="E17" s="365">
        <v>9250.5</v>
      </c>
      <c r="F17" s="353">
        <v>297</v>
      </c>
      <c r="G17" s="354">
        <f t="shared" si="0"/>
        <v>6992.4882154882152</v>
      </c>
      <c r="H17" s="354">
        <f t="shared" si="1"/>
        <v>31.146464646464647</v>
      </c>
      <c r="I17" s="355">
        <f t="shared" si="2"/>
        <v>4.4345223043216996E-3</v>
      </c>
      <c r="K17" s="356">
        <f t="shared" si="3"/>
        <v>2554457</v>
      </c>
      <c r="L17" s="356">
        <f t="shared" si="4"/>
        <v>9250.5</v>
      </c>
    </row>
    <row r="18" spans="1:12" ht="15">
      <c r="A18" s="363" t="s">
        <v>41</v>
      </c>
      <c r="B18" s="364">
        <v>1187137</v>
      </c>
      <c r="C18" s="364">
        <v>9961053</v>
      </c>
      <c r="D18" s="364">
        <v>7760.8</v>
      </c>
      <c r="E18" s="365">
        <v>163028.6</v>
      </c>
      <c r="F18" s="353">
        <v>1239</v>
      </c>
      <c r="G18" s="354">
        <f t="shared" si="0"/>
        <v>8039.5907990314772</v>
      </c>
      <c r="H18" s="354">
        <f t="shared" si="1"/>
        <v>131.58079096045199</v>
      </c>
      <c r="I18" s="355">
        <f t="shared" si="2"/>
        <v>1.610305076956314E-2</v>
      </c>
      <c r="K18" s="356">
        <f t="shared" si="3"/>
        <v>11148190</v>
      </c>
      <c r="L18" s="356">
        <f t="shared" si="4"/>
        <v>170789.4</v>
      </c>
    </row>
    <row r="19" spans="1:12" ht="15">
      <c r="A19" s="363" t="s">
        <v>42</v>
      </c>
      <c r="B19" s="364">
        <v>638594</v>
      </c>
      <c r="C19" s="364">
        <v>6568770</v>
      </c>
      <c r="D19" s="364">
        <v>369.3</v>
      </c>
      <c r="E19" s="365">
        <v>76373.399999999994</v>
      </c>
      <c r="F19" s="353">
        <v>815</v>
      </c>
      <c r="G19" s="354">
        <f t="shared" si="0"/>
        <v>8059.8404907975464</v>
      </c>
      <c r="H19" s="354">
        <f t="shared" si="1"/>
        <v>93.709693251533736</v>
      </c>
      <c r="I19" s="355">
        <f t="shared" si="2"/>
        <v>1.1493115408164101E-2</v>
      </c>
      <c r="K19" s="356">
        <f t="shared" si="3"/>
        <v>7207364</v>
      </c>
      <c r="L19" s="356">
        <f t="shared" si="4"/>
        <v>76742.7</v>
      </c>
    </row>
    <row r="20" spans="1:12" ht="15">
      <c r="A20" s="363" t="s">
        <v>43</v>
      </c>
      <c r="B20" s="364">
        <v>93986601</v>
      </c>
      <c r="C20" s="364">
        <v>26847014</v>
      </c>
      <c r="D20" s="364">
        <v>574121.80000000005</v>
      </c>
      <c r="E20" s="365">
        <v>340447.1</v>
      </c>
      <c r="F20" s="353">
        <v>3409</v>
      </c>
      <c r="G20" s="354">
        <f t="shared" si="0"/>
        <v>7875.3341155764156</v>
      </c>
      <c r="H20" s="354">
        <f t="shared" si="1"/>
        <v>99.867145790554403</v>
      </c>
      <c r="I20" s="355">
        <f t="shared" si="2"/>
        <v>1.2522210100743831E-2</v>
      </c>
      <c r="K20" s="356">
        <f t="shared" si="3"/>
        <v>120833615</v>
      </c>
      <c r="L20" s="356">
        <f t="shared" si="4"/>
        <v>914568.9</v>
      </c>
    </row>
    <row r="21" spans="1:12" ht="15.75" thickBot="1">
      <c r="A21" s="363" t="s">
        <v>44</v>
      </c>
      <c r="B21" s="364">
        <v>26035267</v>
      </c>
      <c r="C21" s="364">
        <v>15735519</v>
      </c>
      <c r="D21" s="364">
        <v>503180.7</v>
      </c>
      <c r="E21" s="365">
        <v>178290.4</v>
      </c>
      <c r="F21" s="353">
        <v>2988</v>
      </c>
      <c r="G21" s="354">
        <f t="shared" si="0"/>
        <v>5266.2379518072294</v>
      </c>
      <c r="H21" s="354">
        <f t="shared" si="1"/>
        <v>59.668808567603747</v>
      </c>
      <c r="I21" s="355">
        <f t="shared" si="2"/>
        <v>1.1203502286510984E-2</v>
      </c>
      <c r="K21" s="356">
        <f t="shared" si="3"/>
        <v>41770786</v>
      </c>
      <c r="L21" s="356">
        <f t="shared" si="4"/>
        <v>681471.1</v>
      </c>
    </row>
    <row r="22" spans="1:12">
      <c r="B22" s="358"/>
      <c r="C22" s="358"/>
      <c r="D22" s="359">
        <f>SUM(D3:D21)/1000</f>
        <v>14532.366600000003</v>
      </c>
      <c r="E22" s="359">
        <f>SUM(E3:E21)/1000</f>
        <v>5838.8088999999991</v>
      </c>
      <c r="F22" s="356"/>
    </row>
    <row r="23" spans="1:12">
      <c r="B23" s="361"/>
      <c r="C23" s="361"/>
    </row>
    <row r="24" spans="1:12">
      <c r="A24" s="366" t="s">
        <v>441</v>
      </c>
      <c r="B24" s="356">
        <f>SUBTOTAL(9,B3:B21)</f>
        <v>803254917</v>
      </c>
      <c r="C24" s="356">
        <f>SUBTOTAL(9,C3:C21)</f>
        <v>436614512</v>
      </c>
      <c r="D24" s="356">
        <f>SUBTOTAL(9,D3:D21)</f>
        <v>14532366.600000003</v>
      </c>
      <c r="E24" s="356">
        <f>SUBTOTAL(9,E3:E21)</f>
        <v>5838808.8999999994</v>
      </c>
    </row>
  </sheetData>
  <autoFilter ref="A2:I22"/>
  <pageMargins left="0.75" right="0.75" top="1" bottom="1" header="0.5" footer="0.5"/>
  <pageSetup orientation="portrait" horizontalDpi="4294967294"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pane xSplit="1" ySplit="2" topLeftCell="B3" activePane="bottomRight" state="frozen"/>
      <selection activeCell="V33" sqref="V33:V50"/>
      <selection pane="topRight" activeCell="V33" sqref="V33:V50"/>
      <selection pane="bottomLeft" activeCell="V33" sqref="V33:V50"/>
      <selection pane="bottomRight" activeCell="K6" sqref="K6:L7"/>
    </sheetView>
  </sheetViews>
  <sheetFormatPr defaultRowHeight="12.75"/>
  <cols>
    <col min="1" max="1" width="17.85546875" style="328" customWidth="1"/>
    <col min="2" max="3" width="13.7109375" style="356" customWidth="1"/>
    <col min="4" max="4" width="12.85546875" style="356" customWidth="1"/>
    <col min="5" max="5" width="11.140625" style="356" customWidth="1"/>
    <col min="6" max="6" width="11.85546875" style="328" customWidth="1"/>
    <col min="7" max="7" width="14.140625" style="328" customWidth="1"/>
    <col min="8" max="8" width="13.42578125" style="328" customWidth="1"/>
    <col min="9" max="9" width="12.85546875" style="328" customWidth="1"/>
    <col min="10" max="16384" width="9.140625" style="328"/>
  </cols>
  <sheetData>
    <row r="1" spans="1:12" ht="13.5" thickBot="1">
      <c r="A1" s="334"/>
      <c r="B1" s="335" t="s">
        <v>445</v>
      </c>
      <c r="C1" s="336"/>
      <c r="D1" s="335" t="s">
        <v>446</v>
      </c>
      <c r="E1" s="337"/>
      <c r="F1" s="338" t="s">
        <v>447</v>
      </c>
      <c r="G1" s="339"/>
      <c r="H1" s="339"/>
      <c r="I1" s="340"/>
    </row>
    <row r="2" spans="1:12" ht="64.5" thickBot="1">
      <c r="A2" s="341" t="s">
        <v>248</v>
      </c>
      <c r="B2" s="342" t="s">
        <v>436</v>
      </c>
      <c r="C2" s="343" t="s">
        <v>24</v>
      </c>
      <c r="D2" s="344" t="s">
        <v>25</v>
      </c>
      <c r="E2" s="345" t="s">
        <v>437</v>
      </c>
      <c r="F2" s="346" t="s">
        <v>438</v>
      </c>
      <c r="G2" s="347" t="s">
        <v>309</v>
      </c>
      <c r="H2" s="347" t="s">
        <v>308</v>
      </c>
      <c r="I2" s="348" t="s">
        <v>307</v>
      </c>
      <c r="K2" s="349" t="s">
        <v>439</v>
      </c>
      <c r="L2" s="349" t="s">
        <v>440</v>
      </c>
    </row>
    <row r="3" spans="1:12" ht="15">
      <c r="A3" s="363" t="s">
        <v>26</v>
      </c>
      <c r="B3" s="364">
        <v>3203583</v>
      </c>
      <c r="C3" s="364">
        <v>4183329</v>
      </c>
      <c r="D3" s="364">
        <v>5934.7</v>
      </c>
      <c r="E3" s="365">
        <v>12943.9</v>
      </c>
      <c r="F3" s="353">
        <v>446</v>
      </c>
      <c r="G3" s="354">
        <f t="shared" ref="G3:G21" si="0">C3/F3</f>
        <v>9379.6614349775791</v>
      </c>
      <c r="H3" s="354">
        <f t="shared" ref="H3:H21" si="1">E3/F3</f>
        <v>29.022197309417038</v>
      </c>
      <c r="I3" s="355">
        <f t="shared" ref="I3:I21" si="2">E3/(C3+E3)</f>
        <v>3.0846182573111484E-3</v>
      </c>
      <c r="K3" s="356">
        <f>B3+C3</f>
        <v>7386912</v>
      </c>
      <c r="L3" s="356">
        <f>D3+E3</f>
        <v>18878.599999999999</v>
      </c>
    </row>
    <row r="4" spans="1:12" ht="15">
      <c r="A4" s="363" t="s">
        <v>27</v>
      </c>
      <c r="B4" s="364">
        <v>0</v>
      </c>
      <c r="C4" s="364">
        <v>13834</v>
      </c>
      <c r="D4" s="364">
        <v>0</v>
      </c>
      <c r="E4" s="365">
        <v>369.2</v>
      </c>
      <c r="F4" s="353">
        <v>5</v>
      </c>
      <c r="G4" s="354">
        <f t="shared" si="0"/>
        <v>2766.8</v>
      </c>
      <c r="H4" s="354">
        <f t="shared" si="1"/>
        <v>73.84</v>
      </c>
      <c r="I4" s="355">
        <f t="shared" si="2"/>
        <v>2.5994142165145881E-2</v>
      </c>
      <c r="K4" s="356">
        <f t="shared" ref="K4:K21" si="3">B4+C4</f>
        <v>13834</v>
      </c>
      <c r="L4" s="356">
        <f t="shared" ref="L4:L21" si="4">D4+E4</f>
        <v>369.2</v>
      </c>
    </row>
    <row r="5" spans="1:12" ht="15">
      <c r="A5" s="363" t="s">
        <v>28</v>
      </c>
      <c r="B5" s="364">
        <v>273686052</v>
      </c>
      <c r="C5" s="364">
        <v>90263452</v>
      </c>
      <c r="D5" s="364">
        <v>5459000</v>
      </c>
      <c r="E5" s="365">
        <v>2749000</v>
      </c>
      <c r="F5" s="353">
        <v>16060</v>
      </c>
      <c r="G5" s="354">
        <f t="shared" si="0"/>
        <v>5620.3892901618929</v>
      </c>
      <c r="H5" s="354">
        <f t="shared" si="1"/>
        <v>171.17061021170611</v>
      </c>
      <c r="I5" s="355">
        <f t="shared" si="2"/>
        <v>2.9555182568458682E-2</v>
      </c>
      <c r="K5" s="356">
        <f t="shared" si="3"/>
        <v>363949504</v>
      </c>
      <c r="L5" s="356">
        <f t="shared" si="4"/>
        <v>8208000</v>
      </c>
    </row>
    <row r="6" spans="1:12" ht="15">
      <c r="A6" s="363" t="s">
        <v>29</v>
      </c>
      <c r="B6" s="364">
        <v>3051445</v>
      </c>
      <c r="C6" s="364">
        <v>15639627</v>
      </c>
      <c r="D6" s="364">
        <v>8252.2000000000007</v>
      </c>
      <c r="E6" s="365">
        <v>749845.5</v>
      </c>
      <c r="F6" s="353">
        <v>1728</v>
      </c>
      <c r="G6" s="354">
        <f t="shared" si="0"/>
        <v>9050.7100694444453</v>
      </c>
      <c r="H6" s="354">
        <f t="shared" si="1"/>
        <v>433.93836805555554</v>
      </c>
      <c r="I6" s="355">
        <f t="shared" si="2"/>
        <v>4.5751655521555072E-2</v>
      </c>
      <c r="K6" s="356">
        <f t="shared" si="3"/>
        <v>18691072</v>
      </c>
      <c r="L6" s="356">
        <f t="shared" si="4"/>
        <v>758097.7</v>
      </c>
    </row>
    <row r="7" spans="1:12" ht="15">
      <c r="A7" s="350" t="s">
        <v>30</v>
      </c>
      <c r="B7" s="364">
        <v>84631558</v>
      </c>
      <c r="C7" s="364">
        <v>49950955</v>
      </c>
      <c r="D7" s="364">
        <v>940650</v>
      </c>
      <c r="E7" s="365">
        <v>2524561</v>
      </c>
      <c r="F7" s="353">
        <v>7035</v>
      </c>
      <c r="G7" s="354">
        <v>7100</v>
      </c>
      <c r="H7" s="354">
        <v>359</v>
      </c>
      <c r="I7" s="355">
        <v>4.8000000000000001E-2</v>
      </c>
      <c r="K7" s="356">
        <f t="shared" ref="K7" si="5">B7+C7</f>
        <v>134582513</v>
      </c>
      <c r="L7" s="356">
        <f t="shared" ref="L7" si="6">D7+E7</f>
        <v>3465211</v>
      </c>
    </row>
    <row r="8" spans="1:12" ht="15">
      <c r="A8" s="363" t="s">
        <v>31</v>
      </c>
      <c r="B8" s="364">
        <v>34368478</v>
      </c>
      <c r="C8" s="364">
        <v>25637746</v>
      </c>
      <c r="D8" s="364">
        <v>1210849.8</v>
      </c>
      <c r="E8" s="365">
        <v>623512.4</v>
      </c>
      <c r="F8" s="353">
        <v>3186</v>
      </c>
      <c r="G8" s="354">
        <f t="shared" si="0"/>
        <v>8047.0012554927807</v>
      </c>
      <c r="H8" s="354">
        <f t="shared" si="1"/>
        <v>195.70382925298179</v>
      </c>
      <c r="I8" s="355">
        <f t="shared" si="2"/>
        <v>2.374267030554789E-2</v>
      </c>
      <c r="K8" s="356">
        <f t="shared" si="3"/>
        <v>60006224</v>
      </c>
      <c r="L8" s="356">
        <f t="shared" si="4"/>
        <v>1834362.2000000002</v>
      </c>
    </row>
    <row r="9" spans="1:12" ht="15">
      <c r="A9" s="363" t="s">
        <v>32</v>
      </c>
      <c r="B9" s="364">
        <v>25174695</v>
      </c>
      <c r="C9" s="364">
        <v>32223640</v>
      </c>
      <c r="D9" s="364">
        <v>9251999.1999999993</v>
      </c>
      <c r="E9" s="365">
        <v>1227094.2</v>
      </c>
      <c r="F9" s="353">
        <v>4606</v>
      </c>
      <c r="G9" s="354">
        <f t="shared" si="0"/>
        <v>6996.0138949196698</v>
      </c>
      <c r="H9" s="354">
        <f t="shared" si="1"/>
        <v>266.41211463308724</v>
      </c>
      <c r="I9" s="355">
        <f t="shared" si="2"/>
        <v>3.6683625317856253E-2</v>
      </c>
      <c r="K9" s="356">
        <f t="shared" si="3"/>
        <v>57398335</v>
      </c>
      <c r="L9" s="356">
        <f t="shared" si="4"/>
        <v>10479093.399999999</v>
      </c>
    </row>
    <row r="10" spans="1:12" ht="15">
      <c r="A10" s="363" t="s">
        <v>33</v>
      </c>
      <c r="B10" s="364">
        <v>20059344</v>
      </c>
      <c r="C10" s="364">
        <v>13793803</v>
      </c>
      <c r="D10" s="364">
        <v>17836.7</v>
      </c>
      <c r="E10" s="365">
        <v>549548.4</v>
      </c>
      <c r="F10" s="353">
        <v>1858</v>
      </c>
      <c r="G10" s="354">
        <f t="shared" si="0"/>
        <v>7424.0059203444562</v>
      </c>
      <c r="H10" s="354">
        <f t="shared" si="1"/>
        <v>295.77416576964481</v>
      </c>
      <c r="I10" s="355">
        <f t="shared" si="2"/>
        <v>3.8313807190138285E-2</v>
      </c>
      <c r="K10" s="356">
        <f t="shared" si="3"/>
        <v>33853147</v>
      </c>
      <c r="L10" s="356">
        <f t="shared" si="4"/>
        <v>567385.1</v>
      </c>
    </row>
    <row r="11" spans="1:12" ht="15">
      <c r="A11" s="363" t="s">
        <v>34</v>
      </c>
      <c r="B11" s="364">
        <v>566540</v>
      </c>
      <c r="C11" s="364">
        <v>5804816</v>
      </c>
      <c r="D11" s="364">
        <v>2308.3000000000002</v>
      </c>
      <c r="E11" s="365">
        <v>179254.8</v>
      </c>
      <c r="F11" s="353">
        <v>804</v>
      </c>
      <c r="G11" s="354">
        <f t="shared" si="0"/>
        <v>7219.9203980099501</v>
      </c>
      <c r="H11" s="354">
        <f t="shared" si="1"/>
        <v>222.95373134328358</v>
      </c>
      <c r="I11" s="355">
        <f t="shared" si="2"/>
        <v>2.9955327400203888E-2</v>
      </c>
      <c r="K11" s="356">
        <f t="shared" si="3"/>
        <v>6371356</v>
      </c>
      <c r="L11" s="356">
        <f t="shared" si="4"/>
        <v>181563.09999999998</v>
      </c>
    </row>
    <row r="12" spans="1:12" ht="15">
      <c r="A12" s="363" t="s">
        <v>35</v>
      </c>
      <c r="B12" s="364">
        <v>5426862</v>
      </c>
      <c r="C12" s="364">
        <v>15870762</v>
      </c>
      <c r="D12" s="364">
        <v>54939.3</v>
      </c>
      <c r="E12" s="365">
        <v>378567.8</v>
      </c>
      <c r="F12" s="353">
        <v>1916</v>
      </c>
      <c r="G12" s="354">
        <f t="shared" si="0"/>
        <v>8283.2787056367433</v>
      </c>
      <c r="H12" s="354">
        <f t="shared" si="1"/>
        <v>197.58235908141961</v>
      </c>
      <c r="I12" s="355">
        <f t="shared" si="2"/>
        <v>2.3297440858145422E-2</v>
      </c>
      <c r="K12" s="356">
        <f t="shared" si="3"/>
        <v>21297624</v>
      </c>
      <c r="L12" s="356">
        <f t="shared" si="4"/>
        <v>433507.1</v>
      </c>
    </row>
    <row r="13" spans="1:12" ht="15">
      <c r="A13" s="363" t="s">
        <v>36</v>
      </c>
      <c r="B13" s="364">
        <v>34666093</v>
      </c>
      <c r="C13" s="364">
        <v>32420138</v>
      </c>
      <c r="D13" s="364">
        <v>1249412.8999999999</v>
      </c>
      <c r="E13" s="365">
        <v>827437.7</v>
      </c>
      <c r="F13" s="353">
        <v>4189</v>
      </c>
      <c r="G13" s="354">
        <f t="shared" si="0"/>
        <v>7739.3502029123892</v>
      </c>
      <c r="H13" s="354">
        <f t="shared" si="1"/>
        <v>197.52630699450941</v>
      </c>
      <c r="I13" s="355">
        <f t="shared" si="2"/>
        <v>2.4887158915469436E-2</v>
      </c>
      <c r="K13" s="356">
        <f t="shared" si="3"/>
        <v>67086231</v>
      </c>
      <c r="L13" s="356">
        <f t="shared" si="4"/>
        <v>2076850.5999999999</v>
      </c>
    </row>
    <row r="14" spans="1:12" ht="15">
      <c r="A14" s="363" t="s">
        <v>37</v>
      </c>
      <c r="B14" s="364">
        <v>5460624</v>
      </c>
      <c r="C14" s="364">
        <v>13471932</v>
      </c>
      <c r="D14" s="364">
        <v>57684.2</v>
      </c>
      <c r="E14" s="365">
        <v>401917.7</v>
      </c>
      <c r="F14" s="353">
        <v>1822</v>
      </c>
      <c r="G14" s="354">
        <f t="shared" si="0"/>
        <v>7394.0351262349068</v>
      </c>
      <c r="H14" s="354">
        <f t="shared" si="1"/>
        <v>220.59149286498354</v>
      </c>
      <c r="I14" s="355">
        <f t="shared" si="2"/>
        <v>2.8969443138770635E-2</v>
      </c>
      <c r="K14" s="356">
        <f t="shared" si="3"/>
        <v>18932556</v>
      </c>
      <c r="L14" s="356">
        <f t="shared" si="4"/>
        <v>459601.9</v>
      </c>
    </row>
    <row r="15" spans="1:12" ht="15">
      <c r="A15" s="363" t="s">
        <v>38</v>
      </c>
      <c r="B15" s="364">
        <v>28976016</v>
      </c>
      <c r="C15" s="364">
        <v>25759841</v>
      </c>
      <c r="D15" s="364">
        <v>355781.1</v>
      </c>
      <c r="E15" s="365">
        <v>796180</v>
      </c>
      <c r="F15" s="353">
        <v>2764</v>
      </c>
      <c r="G15" s="354">
        <f t="shared" si="0"/>
        <v>9319.7688133140382</v>
      </c>
      <c r="H15" s="354">
        <f t="shared" si="1"/>
        <v>288.05354558610708</v>
      </c>
      <c r="I15" s="355">
        <f t="shared" si="2"/>
        <v>2.9981148154687783E-2</v>
      </c>
      <c r="K15" s="356">
        <f t="shared" si="3"/>
        <v>54735857</v>
      </c>
      <c r="L15" s="356">
        <f t="shared" si="4"/>
        <v>1151961.1000000001</v>
      </c>
    </row>
    <row r="16" spans="1:12" ht="15">
      <c r="A16" s="363" t="s">
        <v>39</v>
      </c>
      <c r="B16" s="364">
        <v>182494485</v>
      </c>
      <c r="C16" s="364">
        <v>52207291</v>
      </c>
      <c r="D16" s="364">
        <v>2677895.1</v>
      </c>
      <c r="E16" s="365">
        <v>1896720.1</v>
      </c>
      <c r="F16" s="353">
        <v>7681</v>
      </c>
      <c r="G16" s="354">
        <f t="shared" si="0"/>
        <v>6796.9393308162998</v>
      </c>
      <c r="H16" s="354">
        <f t="shared" si="1"/>
        <v>246.93660981643018</v>
      </c>
      <c r="I16" s="355">
        <f t="shared" si="2"/>
        <v>3.5056922055082158E-2</v>
      </c>
      <c r="K16" s="356">
        <f t="shared" si="3"/>
        <v>234701776</v>
      </c>
      <c r="L16" s="356">
        <f t="shared" si="4"/>
        <v>4574615.2</v>
      </c>
    </row>
    <row r="17" spans="1:12" ht="15">
      <c r="A17" s="363" t="s">
        <v>40</v>
      </c>
      <c r="B17" s="364">
        <v>497010</v>
      </c>
      <c r="C17" s="364">
        <v>2153538</v>
      </c>
      <c r="D17" s="364">
        <v>124411.1</v>
      </c>
      <c r="E17" s="365">
        <v>28931.9</v>
      </c>
      <c r="F17" s="353">
        <v>297</v>
      </c>
      <c r="G17" s="354">
        <f t="shared" si="0"/>
        <v>7250.969696969697</v>
      </c>
      <c r="H17" s="354">
        <f t="shared" si="1"/>
        <v>97.413804713804723</v>
      </c>
      <c r="I17" s="355">
        <f t="shared" si="2"/>
        <v>1.3256494396555024E-2</v>
      </c>
      <c r="K17" s="356">
        <f t="shared" si="3"/>
        <v>2650548</v>
      </c>
      <c r="L17" s="356">
        <f t="shared" si="4"/>
        <v>153343</v>
      </c>
    </row>
    <row r="18" spans="1:12" ht="15">
      <c r="A18" s="363" t="s">
        <v>41</v>
      </c>
      <c r="B18" s="364">
        <v>1221673</v>
      </c>
      <c r="C18" s="364">
        <v>10041335</v>
      </c>
      <c r="D18" s="364">
        <v>633.79999999999995</v>
      </c>
      <c r="E18" s="365">
        <v>320161.5</v>
      </c>
      <c r="F18" s="353">
        <v>1239</v>
      </c>
      <c r="G18" s="354">
        <f t="shared" si="0"/>
        <v>8104.3866020984669</v>
      </c>
      <c r="H18" s="354">
        <f t="shared" si="1"/>
        <v>258.40314769975788</v>
      </c>
      <c r="I18" s="355">
        <f t="shared" si="2"/>
        <v>3.0899156313955227E-2</v>
      </c>
      <c r="K18" s="356">
        <f t="shared" si="3"/>
        <v>11263008</v>
      </c>
      <c r="L18" s="356">
        <f t="shared" si="4"/>
        <v>320795.3</v>
      </c>
    </row>
    <row r="19" spans="1:12" ht="15">
      <c r="A19" s="363" t="s">
        <v>42</v>
      </c>
      <c r="B19" s="364">
        <v>669327</v>
      </c>
      <c r="C19" s="364">
        <v>6625176</v>
      </c>
      <c r="D19" s="364">
        <v>1849.7</v>
      </c>
      <c r="E19" s="365">
        <v>154866.9</v>
      </c>
      <c r="F19" s="353">
        <v>815</v>
      </c>
      <c r="G19" s="354">
        <f t="shared" si="0"/>
        <v>8129.050306748466</v>
      </c>
      <c r="H19" s="354">
        <f t="shared" si="1"/>
        <v>190.02073619631901</v>
      </c>
      <c r="I19" s="355">
        <f t="shared" si="2"/>
        <v>2.2841581135128214E-2</v>
      </c>
      <c r="K19" s="356">
        <f t="shared" si="3"/>
        <v>7294503</v>
      </c>
      <c r="L19" s="356">
        <f t="shared" si="4"/>
        <v>156716.6</v>
      </c>
    </row>
    <row r="20" spans="1:12" ht="15">
      <c r="A20" s="363" t="s">
        <v>43</v>
      </c>
      <c r="B20" s="364">
        <v>97834414</v>
      </c>
      <c r="C20" s="364">
        <v>27051279</v>
      </c>
      <c r="D20" s="364">
        <v>995794.3</v>
      </c>
      <c r="E20" s="365">
        <v>657603.19999999995</v>
      </c>
      <c r="F20" s="353">
        <v>3409</v>
      </c>
      <c r="G20" s="354">
        <f t="shared" si="0"/>
        <v>7935.2534467585801</v>
      </c>
      <c r="H20" s="354">
        <f t="shared" si="1"/>
        <v>192.9020827222059</v>
      </c>
      <c r="I20" s="355">
        <f t="shared" si="2"/>
        <v>2.373257770751936E-2</v>
      </c>
      <c r="K20" s="356">
        <f t="shared" si="3"/>
        <v>124885693</v>
      </c>
      <c r="L20" s="356">
        <f t="shared" si="4"/>
        <v>1653397.5</v>
      </c>
    </row>
    <row r="21" spans="1:12" ht="15.75" thickBot="1">
      <c r="A21" s="363" t="s">
        <v>44</v>
      </c>
      <c r="B21" s="364">
        <v>27273035</v>
      </c>
      <c r="C21" s="364">
        <v>16382619</v>
      </c>
      <c r="D21" s="364">
        <v>869170.6</v>
      </c>
      <c r="E21" s="365">
        <v>1565996.9</v>
      </c>
      <c r="F21" s="353">
        <v>2988</v>
      </c>
      <c r="G21" s="354">
        <f t="shared" si="0"/>
        <v>5482.8042168674701</v>
      </c>
      <c r="H21" s="354">
        <f t="shared" si="1"/>
        <v>524.09534805890223</v>
      </c>
      <c r="I21" s="355">
        <f t="shared" si="2"/>
        <v>8.724889477410902E-2</v>
      </c>
      <c r="K21" s="356">
        <f t="shared" si="3"/>
        <v>43655654</v>
      </c>
      <c r="L21" s="356">
        <f t="shared" si="4"/>
        <v>2435167.5</v>
      </c>
    </row>
    <row r="22" spans="1:12">
      <c r="B22" s="358"/>
      <c r="C22" s="358"/>
      <c r="D22" s="359">
        <f>SUM(D3:D21)/1000</f>
        <v>23284.403000000002</v>
      </c>
      <c r="E22" s="359">
        <f>SUM(E3:E21)/1000</f>
        <v>15644.5131</v>
      </c>
      <c r="F22" s="356"/>
    </row>
    <row r="23" spans="1:12">
      <c r="B23" s="361"/>
      <c r="C23" s="361"/>
    </row>
    <row r="25" spans="1:12">
      <c r="A25" s="366" t="s">
        <v>448</v>
      </c>
      <c r="B25" s="356">
        <f>SUBTOTAL(9,B3:B21)</f>
        <v>829261234</v>
      </c>
      <c r="C25" s="356">
        <f>SUBTOTAL(9,C3:C21)</f>
        <v>439495113</v>
      </c>
      <c r="D25" s="356">
        <f>SUBTOTAL(9,D3:D21)</f>
        <v>23284403.000000004</v>
      </c>
      <c r="E25" s="356">
        <f>SUBTOTAL(9,E3:E21)</f>
        <v>15644513.1</v>
      </c>
    </row>
  </sheetData>
  <autoFilter ref="A2:I22"/>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92"/>
  <sheetViews>
    <sheetView tabSelected="1" topLeftCell="A48" workbookViewId="0">
      <selection activeCell="G63" sqref="G63"/>
    </sheetView>
  </sheetViews>
  <sheetFormatPr defaultRowHeight="15"/>
  <cols>
    <col min="3" max="3" width="20.28515625" customWidth="1"/>
    <col min="4" max="5" width="12" customWidth="1"/>
    <col min="6" max="7" width="13.42578125" customWidth="1"/>
    <col min="8" max="10" width="12" customWidth="1"/>
    <col min="11" max="11" width="14.28515625" customWidth="1"/>
    <col min="12" max="12" width="10.5703125" bestFit="1" customWidth="1"/>
    <col min="13" max="15" width="13.5703125" customWidth="1"/>
    <col min="17" max="17" width="11.5703125" customWidth="1"/>
    <col min="18" max="18" width="10.42578125" customWidth="1"/>
    <col min="19" max="19" width="16" customWidth="1"/>
    <col min="20" max="20" width="9.5703125" bestFit="1" customWidth="1"/>
    <col min="21" max="21" width="9.28515625" bestFit="1" customWidth="1"/>
    <col min="22" max="22" width="15.140625" customWidth="1"/>
  </cols>
  <sheetData>
    <row r="2" spans="2:18">
      <c r="E2" t="s">
        <v>183</v>
      </c>
    </row>
    <row r="3" spans="2:18">
      <c r="E3" t="s">
        <v>167</v>
      </c>
      <c r="F3" t="s">
        <v>423</v>
      </c>
      <c r="G3" t="s">
        <v>121</v>
      </c>
      <c r="H3" t="s">
        <v>1</v>
      </c>
      <c r="I3" t="s">
        <v>178</v>
      </c>
      <c r="J3" t="s">
        <v>131</v>
      </c>
      <c r="K3" t="s">
        <v>23</v>
      </c>
    </row>
    <row r="4" spans="2:18">
      <c r="C4" t="s">
        <v>532</v>
      </c>
      <c r="E4" s="23">
        <f>E29</f>
        <v>4119579.3348679994</v>
      </c>
      <c r="F4" s="23">
        <f t="shared" ref="F4:J4" si="0">F29</f>
        <v>3533788.4537948375</v>
      </c>
      <c r="G4" s="23">
        <f>G29</f>
        <v>137312.65747233009</v>
      </c>
      <c r="H4" s="23">
        <f t="shared" si="0"/>
        <v>6174651.7627872052</v>
      </c>
      <c r="I4" s="23">
        <f t="shared" si="0"/>
        <v>749517.44319507503</v>
      </c>
      <c r="J4" s="23">
        <f t="shared" si="0"/>
        <v>1088735.9899514196</v>
      </c>
      <c r="K4" s="23">
        <f>K29</f>
        <v>15744886.639896331</v>
      </c>
    </row>
    <row r="5" spans="2:18">
      <c r="E5" t="s">
        <v>182</v>
      </c>
      <c r="F5" t="s">
        <v>180</v>
      </c>
      <c r="G5" t="s">
        <v>180</v>
      </c>
      <c r="H5" t="s">
        <v>181</v>
      </c>
      <c r="I5" t="s">
        <v>180</v>
      </c>
      <c r="J5" t="s">
        <v>180</v>
      </c>
    </row>
    <row r="8" spans="2:18">
      <c r="C8" s="92"/>
      <c r="D8" s="92"/>
      <c r="E8" s="441" t="s">
        <v>183</v>
      </c>
      <c r="F8" s="441"/>
      <c r="G8" s="441"/>
      <c r="H8" s="441"/>
      <c r="I8" s="441"/>
      <c r="J8" s="441"/>
      <c r="K8" s="441"/>
      <c r="L8" s="442"/>
      <c r="M8" s="442"/>
      <c r="N8" s="442"/>
      <c r="O8" s="442"/>
      <c r="P8" s="442"/>
      <c r="Q8" s="442"/>
      <c r="R8" s="442"/>
    </row>
    <row r="9" spans="2:18">
      <c r="B9" s="102"/>
      <c r="C9" s="325"/>
      <c r="D9" s="325"/>
      <c r="E9" s="325" t="s">
        <v>167</v>
      </c>
      <c r="F9" s="325" t="s">
        <v>423</v>
      </c>
      <c r="G9" s="325" t="s">
        <v>121</v>
      </c>
      <c r="H9" s="325" t="s">
        <v>1</v>
      </c>
      <c r="I9" s="325" t="s">
        <v>178</v>
      </c>
      <c r="J9" s="325" t="s">
        <v>131</v>
      </c>
      <c r="K9" s="325" t="s">
        <v>23</v>
      </c>
      <c r="L9" s="398"/>
      <c r="M9" s="398"/>
      <c r="N9" s="398"/>
      <c r="O9" s="398"/>
      <c r="P9" s="398"/>
      <c r="Q9" s="398"/>
      <c r="R9" s="399"/>
    </row>
    <row r="10" spans="2:18">
      <c r="C10" s="92" t="s">
        <v>26</v>
      </c>
      <c r="D10" s="324"/>
      <c r="E10" s="211">
        <f>E38+E63</f>
        <v>23321.661456000002</v>
      </c>
      <c r="F10" s="211">
        <f t="shared" ref="F10:K10" si="1">F38+F63</f>
        <v>32089.407276710484</v>
      </c>
      <c r="G10" s="211">
        <f t="shared" si="1"/>
        <v>3630.5393553643075</v>
      </c>
      <c r="H10" s="211">
        <f t="shared" si="1"/>
        <v>0</v>
      </c>
      <c r="I10" s="211">
        <f t="shared" si="1"/>
        <v>3201.4900345197439</v>
      </c>
      <c r="J10" s="211">
        <f t="shared" si="1"/>
        <v>5014.5048516238221</v>
      </c>
      <c r="K10" s="211">
        <f t="shared" si="1"/>
        <v>64258.515334583804</v>
      </c>
      <c r="L10" s="243"/>
      <c r="M10" s="243"/>
      <c r="N10" s="243"/>
      <c r="O10" s="243"/>
      <c r="P10" s="243"/>
      <c r="Q10" s="243"/>
      <c r="R10" s="400"/>
    </row>
    <row r="11" spans="2:18">
      <c r="C11" s="92" t="s">
        <v>27</v>
      </c>
      <c r="D11" s="92"/>
      <c r="E11" s="211">
        <f t="shared" ref="E11:K28" si="2">E39+E64</f>
        <v>50.965043999999999</v>
      </c>
      <c r="F11" s="211">
        <f t="shared" si="2"/>
        <v>241.82119363142337</v>
      </c>
      <c r="G11" s="211">
        <f t="shared" si="2"/>
        <v>0</v>
      </c>
      <c r="H11" s="211">
        <f t="shared" si="2"/>
        <v>0</v>
      </c>
      <c r="I11" s="211">
        <f t="shared" si="2"/>
        <v>16.917723329202019</v>
      </c>
      <c r="J11" s="211">
        <f t="shared" si="2"/>
        <v>28.029364095719327</v>
      </c>
      <c r="K11" s="211">
        <f t="shared" si="2"/>
        <v>342.73332505634471</v>
      </c>
      <c r="L11" s="243"/>
      <c r="M11" s="243"/>
      <c r="N11" s="243"/>
      <c r="O11" s="243"/>
      <c r="P11" s="243"/>
      <c r="Q11" s="243"/>
      <c r="R11" s="400"/>
    </row>
    <row r="12" spans="2:18">
      <c r="C12" s="92" t="s">
        <v>28</v>
      </c>
      <c r="D12" s="324"/>
      <c r="E12" s="211">
        <f t="shared" si="2"/>
        <v>1182708.48636</v>
      </c>
      <c r="F12" s="211">
        <f t="shared" si="2"/>
        <v>952625.87146181671</v>
      </c>
      <c r="G12" s="211">
        <f t="shared" si="2"/>
        <v>17230.437181556415</v>
      </c>
      <c r="H12" s="211">
        <f t="shared" si="2"/>
        <v>2280138.6</v>
      </c>
      <c r="I12" s="211">
        <f t="shared" si="2"/>
        <v>239784.45511903451</v>
      </c>
      <c r="J12" s="211">
        <f t="shared" si="2"/>
        <v>344876.9663107681</v>
      </c>
      <c r="K12" s="211">
        <f t="shared" si="2"/>
        <v>5027168.021383483</v>
      </c>
      <c r="L12" s="243"/>
      <c r="M12" s="243"/>
      <c r="N12" s="243"/>
      <c r="O12" s="243"/>
      <c r="P12" s="243"/>
      <c r="Q12" s="243"/>
      <c r="R12" s="400"/>
    </row>
    <row r="13" spans="2:18">
      <c r="C13" s="92" t="s">
        <v>29</v>
      </c>
      <c r="D13" s="324"/>
      <c r="E13" s="211">
        <f t="shared" si="2"/>
        <v>62564.520144000002</v>
      </c>
      <c r="F13" s="211">
        <f t="shared" si="2"/>
        <v>94787.986005348823</v>
      </c>
      <c r="G13" s="211">
        <f t="shared" si="2"/>
        <v>2996.9815581440407</v>
      </c>
      <c r="H13" s="211">
        <f t="shared" si="2"/>
        <v>0</v>
      </c>
      <c r="I13" s="211">
        <f t="shared" si="2"/>
        <v>8987.9157823152964</v>
      </c>
      <c r="J13" s="211">
        <f t="shared" si="2"/>
        <v>14177.39518144248</v>
      </c>
      <c r="K13" s="211">
        <f t="shared" si="2"/>
        <v>182398.75122839611</v>
      </c>
      <c r="L13" s="243"/>
      <c r="M13" s="243"/>
      <c r="N13" s="243"/>
      <c r="O13" s="243"/>
      <c r="P13" s="243"/>
      <c r="Q13" s="243"/>
      <c r="R13" s="400"/>
    </row>
    <row r="14" spans="2:18">
      <c r="C14" s="92" t="s">
        <v>30</v>
      </c>
      <c r="D14" s="324"/>
      <c r="E14" s="211">
        <f t="shared" si="2"/>
        <v>439542.17892800004</v>
      </c>
      <c r="F14" s="211">
        <f t="shared" si="2"/>
        <v>361014.22721991921</v>
      </c>
      <c r="G14" s="211">
        <f t="shared" si="2"/>
        <v>33139.789337974566</v>
      </c>
      <c r="H14" s="211">
        <f t="shared" si="2"/>
        <v>609926.19999999995</v>
      </c>
      <c r="I14" s="211">
        <f t="shared" si="2"/>
        <v>71840.359708245698</v>
      </c>
      <c r="J14" s="211">
        <f t="shared" si="2"/>
        <v>104960.96699668891</v>
      </c>
      <c r="K14" s="211">
        <f t="shared" si="2"/>
        <v>1597269.3739588642</v>
      </c>
      <c r="L14" s="243"/>
      <c r="M14" s="243"/>
      <c r="N14" s="243"/>
      <c r="O14" s="243"/>
      <c r="P14" s="243"/>
      <c r="Q14" s="243"/>
      <c r="R14" s="400"/>
    </row>
    <row r="15" spans="2:18">
      <c r="C15" s="92" t="s">
        <v>467</v>
      </c>
      <c r="D15" s="324"/>
      <c r="E15" s="211">
        <f t="shared" si="2"/>
        <v>429822.20275999996</v>
      </c>
      <c r="F15" s="211">
        <f t="shared" si="2"/>
        <v>363383.61987597868</v>
      </c>
      <c r="G15" s="211">
        <f t="shared" si="2"/>
        <v>7233.027219694517</v>
      </c>
      <c r="H15" s="211">
        <f t="shared" si="2"/>
        <v>1101621.0627872057</v>
      </c>
      <c r="I15" s="211">
        <f t="shared" si="2"/>
        <v>89637.968771453394</v>
      </c>
      <c r="J15" s="211">
        <f t="shared" si="2"/>
        <v>127873.07782179212</v>
      </c>
      <c r="K15" s="211">
        <f t="shared" si="2"/>
        <v>2107915.4383178172</v>
      </c>
      <c r="L15" s="243"/>
      <c r="M15" s="243"/>
      <c r="N15" s="243"/>
      <c r="O15" s="243"/>
      <c r="P15" s="243"/>
      <c r="Q15" s="243"/>
      <c r="R15" s="400"/>
    </row>
    <row r="16" spans="2:18">
      <c r="C16" s="92"/>
      <c r="D16" s="92"/>
      <c r="E16" s="211"/>
      <c r="F16" s="211"/>
      <c r="G16" s="211">
        <f t="shared" ref="G16" si="3">G44+G69</f>
        <v>0</v>
      </c>
      <c r="H16" s="211"/>
      <c r="I16" s="211"/>
      <c r="J16" s="211"/>
      <c r="K16" s="211"/>
      <c r="L16" s="243"/>
      <c r="M16" s="243"/>
      <c r="N16" s="243"/>
      <c r="O16" s="243"/>
      <c r="P16" s="243"/>
      <c r="Q16" s="243"/>
      <c r="R16" s="400"/>
    </row>
    <row r="17" spans="3:18">
      <c r="C17" s="92" t="s">
        <v>33</v>
      </c>
      <c r="D17" s="324"/>
      <c r="E17" s="211">
        <f t="shared" si="2"/>
        <v>71497.047431999992</v>
      </c>
      <c r="F17" s="211">
        <f t="shared" si="2"/>
        <v>97518.456525572023</v>
      </c>
      <c r="G17" s="211">
        <f t="shared" si="2"/>
        <v>7837.3010910636576</v>
      </c>
      <c r="H17" s="211">
        <f t="shared" si="2"/>
        <v>15721.599999999999</v>
      </c>
      <c r="I17" s="211">
        <f t="shared" si="2"/>
        <v>12849.03428486371</v>
      </c>
      <c r="J17" s="211">
        <f t="shared" si="2"/>
        <v>19485.160728100924</v>
      </c>
      <c r="K17" s="211">
        <f t="shared" si="2"/>
        <v>219319.51802820674</v>
      </c>
      <c r="L17" s="243"/>
      <c r="M17" s="243"/>
      <c r="N17" s="243"/>
      <c r="O17" s="243"/>
      <c r="P17" s="243"/>
      <c r="Q17" s="243"/>
      <c r="R17" s="400"/>
    </row>
    <row r="18" spans="3:18">
      <c r="C18" s="92" t="s">
        <v>34</v>
      </c>
      <c r="D18" s="324"/>
      <c r="E18" s="211">
        <f t="shared" si="2"/>
        <v>21550.864164000002</v>
      </c>
      <c r="F18" s="211">
        <f t="shared" si="2"/>
        <v>43198.618514683389</v>
      </c>
      <c r="G18" s="211">
        <f t="shared" si="2"/>
        <v>4105.8205430697835</v>
      </c>
      <c r="H18" s="211">
        <f t="shared" si="2"/>
        <v>0</v>
      </c>
      <c r="I18" s="211">
        <f t="shared" si="2"/>
        <v>3882.4993965503054</v>
      </c>
      <c r="J18" s="211">
        <f t="shared" si="2"/>
        <v>6171.9401509630716</v>
      </c>
      <c r="K18" s="211">
        <f t="shared" si="2"/>
        <v>75668.294998445315</v>
      </c>
      <c r="L18" s="243"/>
      <c r="M18" s="243"/>
      <c r="N18" s="243"/>
      <c r="O18" s="243"/>
      <c r="P18" s="243"/>
      <c r="Q18" s="243"/>
      <c r="R18" s="400"/>
    </row>
    <row r="19" spans="3:18">
      <c r="C19" s="92" t="s">
        <v>35</v>
      </c>
      <c r="D19" s="324"/>
      <c r="E19" s="211">
        <f t="shared" si="2"/>
        <v>71488.875692000001</v>
      </c>
      <c r="F19" s="211">
        <f t="shared" si="2"/>
        <v>75681.885476092531</v>
      </c>
      <c r="G19" s="211">
        <f t="shared" si="2"/>
        <v>996.1928650719517</v>
      </c>
      <c r="H19" s="211">
        <f t="shared" si="2"/>
        <v>50848.7</v>
      </c>
      <c r="I19" s="211">
        <f t="shared" si="2"/>
        <v>9059.6680202083353</v>
      </c>
      <c r="J19" s="211">
        <f t="shared" si="2"/>
        <v>13888.373924242431</v>
      </c>
      <c r="K19" s="211">
        <f t="shared" si="2"/>
        <v>223117.54243656967</v>
      </c>
      <c r="L19" s="243"/>
      <c r="M19" s="243"/>
      <c r="N19" s="243"/>
      <c r="O19" s="243"/>
      <c r="P19" s="243"/>
      <c r="Q19" s="243"/>
      <c r="R19" s="400"/>
    </row>
    <row r="20" spans="3:18">
      <c r="C20" s="92" t="s">
        <v>36</v>
      </c>
      <c r="D20" s="324"/>
      <c r="E20" s="211">
        <f t="shared" si="2"/>
        <v>220684.45798000001</v>
      </c>
      <c r="F20" s="211">
        <f t="shared" si="2"/>
        <v>169697.69917808368</v>
      </c>
      <c r="G20" s="211">
        <f t="shared" si="2"/>
        <v>16035.359787961888</v>
      </c>
      <c r="H20" s="211">
        <f t="shared" si="2"/>
        <v>179645.2</v>
      </c>
      <c r="I20" s="211">
        <f t="shared" si="2"/>
        <v>24525.956810297161</v>
      </c>
      <c r="J20" s="211">
        <f t="shared" si="2"/>
        <v>36837.360021138731</v>
      </c>
      <c r="K20" s="211">
        <f t="shared" si="2"/>
        <v>636393.96295656986</v>
      </c>
      <c r="L20" s="243"/>
      <c r="M20" s="243"/>
      <c r="N20" s="243"/>
      <c r="O20" s="243"/>
      <c r="P20" s="243"/>
      <c r="Q20" s="243"/>
      <c r="R20" s="400"/>
    </row>
    <row r="21" spans="3:18">
      <c r="C21" s="92" t="s">
        <v>37</v>
      </c>
      <c r="D21" s="324"/>
      <c r="E21" s="211">
        <f t="shared" si="2"/>
        <v>63310.755251999995</v>
      </c>
      <c r="F21" s="211">
        <f t="shared" si="2"/>
        <v>112670.54788803795</v>
      </c>
      <c r="G21" s="211">
        <f t="shared" si="2"/>
        <v>11517.672417553054</v>
      </c>
      <c r="H21" s="211">
        <f t="shared" si="2"/>
        <v>0</v>
      </c>
      <c r="I21" s="211">
        <f t="shared" si="2"/>
        <v>14310.891465125929</v>
      </c>
      <c r="J21" s="211">
        <f t="shared" si="2"/>
        <v>21763.112454912749</v>
      </c>
      <c r="K21" s="211">
        <f t="shared" si="2"/>
        <v>214169.58311607043</v>
      </c>
      <c r="L21" s="243"/>
      <c r="M21" s="243"/>
      <c r="N21" s="243"/>
      <c r="O21" s="243"/>
      <c r="P21" s="243"/>
      <c r="Q21" s="243"/>
      <c r="R21" s="400"/>
    </row>
    <row r="22" spans="3:18">
      <c r="C22" s="92" t="s">
        <v>38</v>
      </c>
      <c r="D22" s="324"/>
      <c r="E22" s="211">
        <f t="shared" si="2"/>
        <v>171249.60044399998</v>
      </c>
      <c r="F22" s="211">
        <f t="shared" si="2"/>
        <v>137640.95530935802</v>
      </c>
      <c r="G22" s="211">
        <f t="shared" si="2"/>
        <v>7039.0148093672997</v>
      </c>
      <c r="H22" s="211">
        <f t="shared" si="2"/>
        <v>194922.59999999998</v>
      </c>
      <c r="I22" s="211">
        <f t="shared" si="2"/>
        <v>26497.835357809832</v>
      </c>
      <c r="J22" s="211">
        <f t="shared" si="2"/>
        <v>38811.073514847834</v>
      </c>
      <c r="K22" s="211">
        <f t="shared" si="2"/>
        <v>572971.19113981503</v>
      </c>
      <c r="L22" s="243"/>
      <c r="M22" s="243"/>
      <c r="N22" s="243"/>
      <c r="O22" s="243"/>
      <c r="P22" s="243"/>
      <c r="Q22" s="243"/>
      <c r="R22" s="400"/>
    </row>
    <row r="23" spans="3:18">
      <c r="C23" s="92" t="s">
        <v>39</v>
      </c>
      <c r="D23" s="324"/>
      <c r="E23" s="211">
        <f t="shared" si="2"/>
        <v>768881.875856</v>
      </c>
      <c r="F23" s="211">
        <f t="shared" si="2"/>
        <v>555835.25725803198</v>
      </c>
      <c r="G23" s="211">
        <f t="shared" si="2"/>
        <v>11243.17082643721</v>
      </c>
      <c r="H23" s="211">
        <f t="shared" si="2"/>
        <v>1013827.4</v>
      </c>
      <c r="I23" s="211">
        <f t="shared" si="2"/>
        <v>135653.21170566004</v>
      </c>
      <c r="J23" s="211">
        <f t="shared" si="2"/>
        <v>195472.67716937038</v>
      </c>
      <c r="K23" s="211">
        <f t="shared" si="2"/>
        <v>2683586.0847495086</v>
      </c>
      <c r="L23" s="243"/>
      <c r="M23" s="243"/>
      <c r="N23" s="243"/>
      <c r="O23" s="243"/>
      <c r="P23" s="243"/>
      <c r="Q23" s="243"/>
      <c r="R23" s="400"/>
    </row>
    <row r="24" spans="3:18">
      <c r="C24" s="92" t="s">
        <v>40</v>
      </c>
      <c r="D24" s="324"/>
      <c r="E24" s="211">
        <f t="shared" si="2"/>
        <v>9086.7360399999998</v>
      </c>
      <c r="F24" s="211">
        <f t="shared" si="2"/>
        <v>14945.449521572693</v>
      </c>
      <c r="G24" s="211">
        <f t="shared" si="2"/>
        <v>852.84952112765529</v>
      </c>
      <c r="H24" s="211">
        <f t="shared" si="2"/>
        <v>0</v>
      </c>
      <c r="I24" s="211">
        <f t="shared" si="2"/>
        <v>1211.2337096614681</v>
      </c>
      <c r="J24" s="211">
        <f t="shared" si="2"/>
        <v>1956.5994825380517</v>
      </c>
      <c r="K24" s="211">
        <f t="shared" si="2"/>
        <v>27503.488045323178</v>
      </c>
      <c r="L24" s="243"/>
      <c r="M24" s="243"/>
      <c r="N24" s="243"/>
      <c r="O24" s="243"/>
      <c r="P24" s="243"/>
      <c r="Q24" s="243"/>
      <c r="R24" s="400"/>
    </row>
    <row r="25" spans="3:18">
      <c r="C25" s="92" t="s">
        <v>41</v>
      </c>
      <c r="D25" s="324"/>
      <c r="E25" s="211">
        <f t="shared" si="2"/>
        <v>37401.460291999996</v>
      </c>
      <c r="F25" s="211">
        <f t="shared" si="2"/>
        <v>56250.343642013715</v>
      </c>
      <c r="G25" s="211">
        <f t="shared" si="2"/>
        <v>649.73150019525985</v>
      </c>
      <c r="H25" s="211">
        <f t="shared" si="2"/>
        <v>7357.3</v>
      </c>
      <c r="I25" s="211">
        <f t="shared" si="2"/>
        <v>5382.613034997692</v>
      </c>
      <c r="J25" s="211">
        <f t="shared" si="2"/>
        <v>8495.4701693053667</v>
      </c>
      <c r="K25" s="211">
        <f t="shared" si="2"/>
        <v>116221.33181879424</v>
      </c>
      <c r="L25" s="243"/>
      <c r="M25" s="243"/>
      <c r="N25" s="243"/>
      <c r="O25" s="243"/>
      <c r="P25" s="243"/>
      <c r="Q25" s="243"/>
      <c r="R25" s="400"/>
    </row>
    <row r="26" spans="3:18">
      <c r="C26" s="92" t="s">
        <v>42</v>
      </c>
      <c r="D26" s="324"/>
      <c r="E26" s="211">
        <f t="shared" si="2"/>
        <v>24976.754416</v>
      </c>
      <c r="F26" s="211">
        <f t="shared" si="2"/>
        <v>43802.362406035696</v>
      </c>
      <c r="G26" s="211">
        <f t="shared" si="2"/>
        <v>1217.3220368674083</v>
      </c>
      <c r="H26" s="211">
        <f t="shared" si="2"/>
        <v>0</v>
      </c>
      <c r="I26" s="211">
        <f t="shared" si="2"/>
        <v>3919.3933764781596</v>
      </c>
      <c r="J26" s="211">
        <f t="shared" si="2"/>
        <v>6234.6849251432686</v>
      </c>
      <c r="K26" s="211">
        <f t="shared" si="2"/>
        <v>79810.230176823388</v>
      </c>
      <c r="L26" s="243"/>
      <c r="M26" s="243"/>
      <c r="N26" s="243"/>
      <c r="O26" s="243"/>
      <c r="P26" s="243"/>
      <c r="Q26" s="243"/>
      <c r="R26" s="400"/>
    </row>
    <row r="27" spans="3:18">
      <c r="C27" s="92" t="s">
        <v>43</v>
      </c>
      <c r="D27" s="324"/>
      <c r="E27" s="211">
        <f t="shared" si="2"/>
        <v>377598.39029600006</v>
      </c>
      <c r="F27" s="211">
        <f t="shared" si="2"/>
        <v>331943.96966734715</v>
      </c>
      <c r="G27" s="211">
        <f t="shared" si="2"/>
        <v>10051.241743228788</v>
      </c>
      <c r="H27" s="211">
        <f t="shared" si="2"/>
        <v>466854.5</v>
      </c>
      <c r="I27" s="211">
        <f t="shared" si="2"/>
        <v>80144.506847787634</v>
      </c>
      <c r="J27" s="211">
        <f t="shared" si="2"/>
        <v>115562.94278719807</v>
      </c>
      <c r="K27" s="211">
        <f t="shared" si="2"/>
        <v>1379176.3029148069</v>
      </c>
      <c r="L27" s="243"/>
      <c r="M27" s="243"/>
      <c r="N27" s="243"/>
      <c r="O27" s="243"/>
      <c r="P27" s="243"/>
      <c r="Q27" s="243"/>
      <c r="R27" s="400"/>
    </row>
    <row r="28" spans="3:18">
      <c r="C28" s="92" t="s">
        <v>44</v>
      </c>
      <c r="D28" s="324"/>
      <c r="E28" s="211">
        <f t="shared" si="2"/>
        <v>143842.502312</v>
      </c>
      <c r="F28" s="211">
        <f t="shared" si="2"/>
        <v>90459.975374603222</v>
      </c>
      <c r="G28" s="211">
        <f t="shared" si="2"/>
        <v>1536.205677652285</v>
      </c>
      <c r="H28" s="211">
        <f t="shared" si="2"/>
        <v>253788.59999999998</v>
      </c>
      <c r="I28" s="211">
        <f t="shared" si="2"/>
        <v>18611.492046736836</v>
      </c>
      <c r="J28" s="211">
        <f t="shared" si="2"/>
        <v>27125.654097247818</v>
      </c>
      <c r="K28" s="211">
        <f t="shared" si="2"/>
        <v>537596.27596719458</v>
      </c>
      <c r="L28" s="243"/>
      <c r="M28" s="243"/>
      <c r="N28" s="243"/>
      <c r="O28" s="243"/>
      <c r="P28" s="243"/>
      <c r="Q28" s="243"/>
      <c r="R28" s="400"/>
    </row>
    <row r="29" spans="3:18">
      <c r="C29" s="92" t="s">
        <v>23</v>
      </c>
      <c r="D29" s="324"/>
      <c r="E29" s="211">
        <f>SUM(E10:E28)</f>
        <v>4119579.3348679994</v>
      </c>
      <c r="F29" s="211">
        <f t="shared" ref="F29:K29" si="4">SUM(F10:F28)</f>
        <v>3533788.4537948375</v>
      </c>
      <c r="G29" s="211">
        <f t="shared" ref="G29" si="5">G57+G82</f>
        <v>137312.65747233009</v>
      </c>
      <c r="H29" s="211">
        <f t="shared" si="4"/>
        <v>6174651.7627872052</v>
      </c>
      <c r="I29" s="211">
        <f t="shared" si="4"/>
        <v>749517.44319507503</v>
      </c>
      <c r="J29" s="211">
        <f t="shared" si="4"/>
        <v>1088735.9899514196</v>
      </c>
      <c r="K29" s="211">
        <f t="shared" si="4"/>
        <v>15744886.639896331</v>
      </c>
      <c r="L29" s="243"/>
      <c r="M29" s="243"/>
      <c r="N29" s="243"/>
      <c r="O29" s="243"/>
      <c r="P29" s="243"/>
      <c r="Q29" s="243"/>
      <c r="R29" s="400"/>
    </row>
    <row r="30" spans="3:18">
      <c r="C30" t="s">
        <v>185</v>
      </c>
      <c r="E30" t="s">
        <v>180</v>
      </c>
      <c r="F30" t="s">
        <v>181</v>
      </c>
      <c r="H30" t="s">
        <v>180</v>
      </c>
      <c r="I30" t="s">
        <v>180</v>
      </c>
      <c r="K30" t="s">
        <v>182</v>
      </c>
      <c r="L30" s="4"/>
      <c r="M30" s="4"/>
      <c r="N30" s="4"/>
      <c r="O30" s="4"/>
      <c r="P30" s="4"/>
      <c r="Q30" s="4"/>
      <c r="R30" s="4"/>
    </row>
    <row r="36" spans="2:24">
      <c r="C36" s="92"/>
      <c r="D36" s="92"/>
      <c r="E36" s="438" t="s">
        <v>477</v>
      </c>
      <c r="F36" s="439"/>
      <c r="G36" s="439"/>
      <c r="H36" s="439"/>
      <c r="I36" s="439"/>
      <c r="J36" s="439"/>
      <c r="K36" s="440"/>
      <c r="L36" s="441" t="s">
        <v>421</v>
      </c>
      <c r="M36" s="441"/>
      <c r="N36" s="441"/>
      <c r="O36" s="441"/>
      <c r="P36" s="441"/>
      <c r="Q36" s="441"/>
      <c r="R36" s="441"/>
      <c r="S36" s="92"/>
      <c r="T36" s="326"/>
      <c r="U36" s="326"/>
      <c r="V36" s="326"/>
      <c r="W36" s="326"/>
      <c r="X36" s="326"/>
    </row>
    <row r="37" spans="2:24" ht="30">
      <c r="B37" s="102"/>
      <c r="C37" s="325"/>
      <c r="D37" s="319" t="s">
        <v>147</v>
      </c>
      <c r="E37" s="325" t="s">
        <v>167</v>
      </c>
      <c r="F37" s="325" t="s">
        <v>423</v>
      </c>
      <c r="G37" s="325" t="s">
        <v>121</v>
      </c>
      <c r="H37" s="325" t="s">
        <v>1</v>
      </c>
      <c r="I37" s="325" t="s">
        <v>178</v>
      </c>
      <c r="J37" s="325" t="s">
        <v>131</v>
      </c>
      <c r="K37" s="325" t="s">
        <v>23</v>
      </c>
      <c r="L37" s="325" t="s">
        <v>167</v>
      </c>
      <c r="M37" s="325" t="s">
        <v>107</v>
      </c>
      <c r="N37" s="325" t="s">
        <v>121</v>
      </c>
      <c r="O37" s="325" t="s">
        <v>1</v>
      </c>
      <c r="P37" s="325" t="s">
        <v>178</v>
      </c>
      <c r="Q37" s="325" t="s">
        <v>131</v>
      </c>
      <c r="R37" s="397" t="s">
        <v>23</v>
      </c>
      <c r="S37" s="325" t="s">
        <v>465</v>
      </c>
      <c r="T37" s="325" t="s">
        <v>422</v>
      </c>
      <c r="U37" s="325" t="s">
        <v>423</v>
      </c>
      <c r="V37" s="325" t="s">
        <v>424</v>
      </c>
      <c r="W37" s="325" t="s">
        <v>178</v>
      </c>
      <c r="X37" s="325" t="s">
        <v>131</v>
      </c>
    </row>
    <row r="38" spans="2:24">
      <c r="C38" s="92" t="s">
        <v>26</v>
      </c>
      <c r="D38" s="211">
        <f>S38</f>
        <v>179</v>
      </c>
      <c r="E38" s="211">
        <f>T38*3.412</f>
        <v>9443.7199519999995</v>
      </c>
      <c r="F38" s="211">
        <f t="shared" ref="F38:F56" si="6">$F$57*(S38/$S$57)</f>
        <v>4473.4269640019347</v>
      </c>
      <c r="G38" s="211">
        <f>$G$57*(D38/$D$57)</f>
        <v>60.451715729755868</v>
      </c>
      <c r="H38" s="211">
        <f t="shared" ref="H38:H57" si="7">V38/10</f>
        <v>0</v>
      </c>
      <c r="I38" s="211">
        <f t="shared" ref="I38:I56" si="8">$I$57*(S38/$S$57)</f>
        <v>1269.4860303248736</v>
      </c>
      <c r="J38" s="211">
        <f t="shared" ref="J38:J56" si="9">$J$57*(S38/$S$57)</f>
        <v>1813.5514718926761</v>
      </c>
      <c r="K38" s="211">
        <f>SUM(E38:J38)</f>
        <v>17060.63613394924</v>
      </c>
      <c r="L38" s="211">
        <f>E38/$D38</f>
        <v>52.758212022346363</v>
      </c>
      <c r="M38" s="211">
        <f>F38/$D38</f>
        <v>24.991212089396285</v>
      </c>
      <c r="N38" s="426">
        <f>G38/$D38</f>
        <v>0.33771908228913894</v>
      </c>
      <c r="O38" s="211">
        <f>H38/$D38</f>
        <v>0</v>
      </c>
      <c r="P38" s="211">
        <f t="shared" ref="P38:Q38" si="10">I38/$D38</f>
        <v>7.0921007280719195</v>
      </c>
      <c r="Q38" s="211">
        <f t="shared" si="10"/>
        <v>10.131572468674168</v>
      </c>
      <c r="R38" s="99">
        <f>SUM(L38:Q38)</f>
        <v>95.310816390777887</v>
      </c>
      <c r="S38" s="324">
        <v>179</v>
      </c>
      <c r="T38" s="327">
        <f>'C&amp;I Calculations and References'!C53/1000</f>
        <v>2767.7959999999998</v>
      </c>
      <c r="U38" s="211">
        <f>$U$57*(S38/$S$57)</f>
        <v>0</v>
      </c>
      <c r="V38" s="211">
        <f>'C&amp;I Calculations and References'!G53</f>
        <v>0</v>
      </c>
      <c r="W38" s="92"/>
      <c r="X38" s="92"/>
    </row>
    <row r="39" spans="2:24">
      <c r="C39" s="92" t="s">
        <v>27</v>
      </c>
      <c r="D39" s="211">
        <f t="shared" ref="D39:D57" si="11">S39</f>
        <v>0</v>
      </c>
      <c r="E39" s="211">
        <f>T39*3.412</f>
        <v>0</v>
      </c>
      <c r="F39" s="211">
        <f t="shared" si="6"/>
        <v>0</v>
      </c>
      <c r="G39" s="211">
        <f t="shared" ref="G39:G56" si="12">$G$57*(D39/$D$57)</f>
        <v>0</v>
      </c>
      <c r="H39" s="211">
        <f t="shared" si="7"/>
        <v>0</v>
      </c>
      <c r="I39" s="211">
        <f t="shared" si="8"/>
        <v>0</v>
      </c>
      <c r="J39" s="211">
        <f t="shared" si="9"/>
        <v>0</v>
      </c>
      <c r="K39" s="211">
        <f t="shared" ref="K39:K56" si="13">SUM(E39:J39)</f>
        <v>0</v>
      </c>
      <c r="L39" s="211"/>
      <c r="M39" s="211"/>
      <c r="N39" s="426"/>
      <c r="O39" s="211"/>
      <c r="P39" s="211"/>
      <c r="Q39" s="211"/>
      <c r="R39" s="99">
        <f t="shared" ref="R39:R56" si="14">SUM(L39:Q39)</f>
        <v>0</v>
      </c>
      <c r="S39" s="92">
        <v>0</v>
      </c>
      <c r="T39" s="327">
        <f>'C&amp;I Calculations and References'!C54/1000</f>
        <v>0</v>
      </c>
      <c r="U39" s="211">
        <f>$U$57*(S39/$S$57)</f>
        <v>0</v>
      </c>
      <c r="V39" s="211">
        <f>'C&amp;I Calculations and References'!G54</f>
        <v>0</v>
      </c>
      <c r="W39" s="92"/>
      <c r="X39" s="92"/>
    </row>
    <row r="40" spans="2:24">
      <c r="C40" s="92" t="s">
        <v>28</v>
      </c>
      <c r="D40" s="211">
        <f t="shared" si="11"/>
        <v>32372</v>
      </c>
      <c r="E40" s="211">
        <f>T40*3.412</f>
        <v>890703.68842799996</v>
      </c>
      <c r="F40" s="211">
        <f t="shared" si="6"/>
        <v>809015.5177579365</v>
      </c>
      <c r="G40" s="211">
        <f t="shared" si="12"/>
        <v>10932.642131864004</v>
      </c>
      <c r="H40" s="211">
        <f t="shared" si="7"/>
        <v>1357046.6</v>
      </c>
      <c r="I40" s="211">
        <f t="shared" si="8"/>
        <v>229585.48476914415</v>
      </c>
      <c r="J40" s="211">
        <f t="shared" si="9"/>
        <v>327979.26395592018</v>
      </c>
      <c r="K40" s="211">
        <f t="shared" si="13"/>
        <v>3625263.1970428647</v>
      </c>
      <c r="L40" s="211">
        <f t="shared" ref="L40:L57" si="15">E40/$D40</f>
        <v>27.51463265871741</v>
      </c>
      <c r="M40" s="211">
        <f t="shared" ref="M40:M57" si="16">F40/$D40</f>
        <v>24.991212089396285</v>
      </c>
      <c r="N40" s="426">
        <f t="shared" ref="N40:N57" si="17">G40/$D40</f>
        <v>0.33771908228913888</v>
      </c>
      <c r="O40" s="211">
        <f t="shared" ref="O40:O57" si="18">H40/$D40</f>
        <v>41.920381811441992</v>
      </c>
      <c r="P40" s="211">
        <f t="shared" ref="P40:P43" si="19">I40/$D40</f>
        <v>7.0921007280719186</v>
      </c>
      <c r="Q40" s="211">
        <f t="shared" ref="Q40:Q43" si="20">J40/$D40</f>
        <v>10.131572468674168</v>
      </c>
      <c r="R40" s="99">
        <f t="shared" si="14"/>
        <v>111.9876188385909</v>
      </c>
      <c r="S40" s="324">
        <f>'Chittenden County Town Employee'!O5</f>
        <v>32372</v>
      </c>
      <c r="T40" s="327">
        <f>'C&amp;I Calculations and References'!C55/1000</f>
        <v>261050.31899999999</v>
      </c>
      <c r="U40" s="211"/>
      <c r="V40" s="211">
        <f>'C&amp;I Calculations and References'!G55</f>
        <v>13570466</v>
      </c>
      <c r="W40" s="92"/>
      <c r="X40" s="92"/>
    </row>
    <row r="41" spans="2:24">
      <c r="C41" s="92" t="s">
        <v>29</v>
      </c>
      <c r="D41" s="211">
        <f t="shared" si="11"/>
        <v>441</v>
      </c>
      <c r="E41" s="211">
        <f>T41*3.412</f>
        <v>10277.083892000001</v>
      </c>
      <c r="F41" s="211">
        <f t="shared" si="6"/>
        <v>11021.12453142376</v>
      </c>
      <c r="G41" s="211">
        <f t="shared" si="12"/>
        <v>148.93411528951026</v>
      </c>
      <c r="H41" s="211">
        <f t="shared" si="7"/>
        <v>0</v>
      </c>
      <c r="I41" s="211">
        <f t="shared" si="8"/>
        <v>3127.616421079716</v>
      </c>
      <c r="J41" s="211">
        <f t="shared" si="9"/>
        <v>4468.0234586853076</v>
      </c>
      <c r="K41" s="211">
        <f t="shared" si="13"/>
        <v>29042.782418478298</v>
      </c>
      <c r="L41" s="211">
        <f t="shared" si="15"/>
        <v>23.304045106575966</v>
      </c>
      <c r="M41" s="211">
        <f t="shared" si="16"/>
        <v>24.991212089396281</v>
      </c>
      <c r="N41" s="426">
        <f t="shared" si="17"/>
        <v>0.33771908228913888</v>
      </c>
      <c r="O41" s="211">
        <f t="shared" si="18"/>
        <v>0</v>
      </c>
      <c r="P41" s="211">
        <f t="shared" si="19"/>
        <v>7.0921007280719186</v>
      </c>
      <c r="Q41" s="211">
        <f t="shared" si="20"/>
        <v>10.131572468674166</v>
      </c>
      <c r="R41" s="99">
        <f t="shared" si="14"/>
        <v>65.856649475007472</v>
      </c>
      <c r="S41" s="324">
        <f>'Chittenden County Town Employee'!O6</f>
        <v>441</v>
      </c>
      <c r="T41" s="327">
        <f>'C&amp;I Calculations and References'!C56/1000</f>
        <v>3012.0410000000002</v>
      </c>
      <c r="U41" s="211"/>
      <c r="V41" s="211">
        <f>'C&amp;I Calculations and References'!G56</f>
        <v>0</v>
      </c>
      <c r="W41" s="92"/>
      <c r="X41" s="92"/>
    </row>
    <row r="42" spans="2:24">
      <c r="C42" s="92" t="s">
        <v>30</v>
      </c>
      <c r="D42" s="211">
        <f t="shared" si="11"/>
        <v>8689</v>
      </c>
      <c r="E42" s="211">
        <f>T42*3.412</f>
        <v>273391.19150000002</v>
      </c>
      <c r="F42" s="211">
        <f t="shared" si="6"/>
        <v>217148.64184476432</v>
      </c>
      <c r="G42" s="211">
        <f t="shared" si="12"/>
        <v>2934.441106010328</v>
      </c>
      <c r="H42" s="211">
        <f t="shared" si="7"/>
        <v>352962.2</v>
      </c>
      <c r="I42" s="211">
        <f t="shared" si="8"/>
        <v>61623.263226216906</v>
      </c>
      <c r="J42" s="211">
        <f t="shared" si="9"/>
        <v>88033.23318030985</v>
      </c>
      <c r="K42" s="211">
        <f t="shared" si="13"/>
        <v>996092.97085730149</v>
      </c>
      <c r="L42" s="211">
        <f t="shared" si="15"/>
        <v>31.464057026124987</v>
      </c>
      <c r="M42" s="211">
        <f t="shared" si="16"/>
        <v>24.991212089396285</v>
      </c>
      <c r="N42" s="426">
        <f t="shared" si="17"/>
        <v>0.33771908228913888</v>
      </c>
      <c r="O42" s="211">
        <f t="shared" si="18"/>
        <v>40.621728622396134</v>
      </c>
      <c r="P42" s="211">
        <f t="shared" si="19"/>
        <v>7.0921007280719195</v>
      </c>
      <c r="Q42" s="211">
        <f t="shared" si="20"/>
        <v>10.131572468674168</v>
      </c>
      <c r="R42" s="99">
        <f t="shared" si="14"/>
        <v>114.63839001695263</v>
      </c>
      <c r="S42" s="324">
        <f>'Chittenden County Town Employee'!O7</f>
        <v>8689</v>
      </c>
      <c r="T42" s="327">
        <f>'C&amp;I Calculations and References'!C57/1000</f>
        <v>80126.375</v>
      </c>
      <c r="U42" s="211"/>
      <c r="V42" s="211">
        <f>'C&amp;I Calculations and References'!G57</f>
        <v>3529622</v>
      </c>
      <c r="W42" s="92"/>
      <c r="X42" s="92"/>
    </row>
    <row r="43" spans="2:24">
      <c r="C43" s="92" t="s">
        <v>467</v>
      </c>
      <c r="D43" s="211">
        <f t="shared" si="11"/>
        <v>11440</v>
      </c>
      <c r="E43" s="211">
        <f>T43*3.412+E44</f>
        <v>319402.74507999996</v>
      </c>
      <c r="F43" s="211">
        <f t="shared" si="6"/>
        <v>285899.46630269347</v>
      </c>
      <c r="G43" s="211">
        <f t="shared" si="12"/>
        <v>3863.5063013877489</v>
      </c>
      <c r="H43" s="211">
        <f t="shared" si="7"/>
        <v>851431.3</v>
      </c>
      <c r="I43" s="211">
        <f t="shared" si="8"/>
        <v>81133.632329142754</v>
      </c>
      <c r="J43" s="211">
        <f t="shared" si="9"/>
        <v>115905.18904163249</v>
      </c>
      <c r="K43" s="211">
        <f t="shared" si="13"/>
        <v>1657635.8390548562</v>
      </c>
      <c r="L43" s="211">
        <f t="shared" si="15"/>
        <v>27.919820374125869</v>
      </c>
      <c r="M43" s="211">
        <f t="shared" si="16"/>
        <v>24.991212089396281</v>
      </c>
      <c r="N43" s="426">
        <f t="shared" si="17"/>
        <v>0.33771908228913888</v>
      </c>
      <c r="O43" s="211">
        <f t="shared" si="18"/>
        <v>74.425812937062943</v>
      </c>
      <c r="P43" s="211">
        <f t="shared" si="19"/>
        <v>7.0921007280719195</v>
      </c>
      <c r="Q43" s="211">
        <f t="shared" si="20"/>
        <v>10.131572468674168</v>
      </c>
      <c r="R43" s="99">
        <f t="shared" si="14"/>
        <v>144.89823767962031</v>
      </c>
      <c r="S43" s="324">
        <f>'Chittenden County Town Employee'!O20</f>
        <v>11440</v>
      </c>
      <c r="T43" s="327">
        <f>'C&amp;I Calculations and References'!C58/1000+T44</f>
        <v>65536.324999999997</v>
      </c>
      <c r="U43" s="211"/>
      <c r="V43" s="211">
        <f>'C&amp;I Calculations and References'!G58 +V44</f>
        <v>8514313</v>
      </c>
      <c r="W43" s="92"/>
      <c r="X43" s="92"/>
    </row>
    <row r="44" spans="2:24">
      <c r="C44" s="92" t="s">
        <v>32</v>
      </c>
      <c r="D44" s="211">
        <f t="shared" si="11"/>
        <v>0</v>
      </c>
      <c r="E44" s="211">
        <f t="shared" ref="E44:E56" si="21">T44*3.412</f>
        <v>95792.804179999992</v>
      </c>
      <c r="F44" s="211">
        <f t="shared" si="6"/>
        <v>0</v>
      </c>
      <c r="G44" s="211">
        <f t="shared" si="12"/>
        <v>0</v>
      </c>
      <c r="H44" s="211">
        <f t="shared" si="7"/>
        <v>851431.3</v>
      </c>
      <c r="I44" s="211">
        <f t="shared" si="8"/>
        <v>0</v>
      </c>
      <c r="J44" s="211">
        <f t="shared" si="9"/>
        <v>0</v>
      </c>
      <c r="K44" s="211">
        <f t="shared" si="13"/>
        <v>947224.10418000002</v>
      </c>
      <c r="L44" s="211"/>
      <c r="M44" s="211"/>
      <c r="N44" s="426"/>
      <c r="O44" s="211"/>
      <c r="P44" s="211"/>
      <c r="Q44" s="211"/>
      <c r="R44" s="99">
        <f t="shared" si="14"/>
        <v>0</v>
      </c>
      <c r="S44" s="92"/>
      <c r="T44" s="327">
        <f>'C&amp;I Calculations and References'!C59/1000</f>
        <v>28075.264999999999</v>
      </c>
      <c r="U44" s="211"/>
      <c r="V44" s="211">
        <f>'C&amp;I Calculations and References'!G59</f>
        <v>8514313</v>
      </c>
      <c r="W44" s="92"/>
      <c r="X44" s="92"/>
    </row>
    <row r="45" spans="2:24">
      <c r="C45" s="92" t="s">
        <v>33</v>
      </c>
      <c r="D45" s="211">
        <f t="shared" si="11"/>
        <v>1114</v>
      </c>
      <c r="E45" s="211">
        <f t="shared" si="21"/>
        <v>24759.079051999997</v>
      </c>
      <c r="F45" s="211">
        <f t="shared" si="6"/>
        <v>27840.210267587463</v>
      </c>
      <c r="G45" s="211">
        <f t="shared" si="12"/>
        <v>376.21905767010077</v>
      </c>
      <c r="H45" s="211">
        <f t="shared" si="7"/>
        <v>3340.8</v>
      </c>
      <c r="I45" s="211">
        <f t="shared" si="8"/>
        <v>7900.6002110721183</v>
      </c>
      <c r="J45" s="211">
        <f t="shared" si="9"/>
        <v>11286.571730103024</v>
      </c>
      <c r="K45" s="211">
        <f t="shared" si="13"/>
        <v>75503.480318432703</v>
      </c>
      <c r="L45" s="211">
        <f t="shared" si="15"/>
        <v>22.2253851454219</v>
      </c>
      <c r="M45" s="211">
        <f t="shared" si="16"/>
        <v>24.991212089396285</v>
      </c>
      <c r="N45" s="426">
        <f t="shared" si="17"/>
        <v>0.33771908228913894</v>
      </c>
      <c r="O45" s="211">
        <f t="shared" si="18"/>
        <v>2.998922800718133</v>
      </c>
      <c r="P45" s="211">
        <f t="shared" ref="P45:P57" si="22">I45/$D45</f>
        <v>7.0921007280719195</v>
      </c>
      <c r="Q45" s="211">
        <f t="shared" ref="Q45:Q57" si="23">J45/$D45</f>
        <v>10.131572468674168</v>
      </c>
      <c r="R45" s="99">
        <f t="shared" si="14"/>
        <v>67.776912314571547</v>
      </c>
      <c r="S45" s="324">
        <f>'Chittenden County Town Employee'!O8</f>
        <v>1114</v>
      </c>
      <c r="T45" s="327">
        <f>'C&amp;I Calculations and References'!C60/1000</f>
        <v>7256.4709999999995</v>
      </c>
      <c r="U45" s="211"/>
      <c r="V45" s="211">
        <f>'C&amp;I Calculations and References'!G60</f>
        <v>33408</v>
      </c>
      <c r="W45" s="92"/>
      <c r="X45" s="92"/>
    </row>
    <row r="46" spans="2:24">
      <c r="C46" s="92" t="s">
        <v>34</v>
      </c>
      <c r="D46" s="211">
        <f t="shared" si="11"/>
        <v>161</v>
      </c>
      <c r="E46" s="211">
        <f t="shared" si="21"/>
        <v>2027.6731240000001</v>
      </c>
      <c r="F46" s="211">
        <f t="shared" si="6"/>
        <v>4023.585146392802</v>
      </c>
      <c r="G46" s="211">
        <f t="shared" si="12"/>
        <v>54.372772248551364</v>
      </c>
      <c r="H46" s="211">
        <f t="shared" si="7"/>
        <v>0</v>
      </c>
      <c r="I46" s="211">
        <f t="shared" si="8"/>
        <v>1141.8282172195788</v>
      </c>
      <c r="J46" s="211">
        <f t="shared" si="9"/>
        <v>1631.1831674565412</v>
      </c>
      <c r="K46" s="211">
        <f t="shared" si="13"/>
        <v>8878.6424273174725</v>
      </c>
      <c r="L46" s="211">
        <f t="shared" si="15"/>
        <v>12.594243006211181</v>
      </c>
      <c r="M46" s="211">
        <f t="shared" si="16"/>
        <v>24.991212089396285</v>
      </c>
      <c r="N46" s="426">
        <f t="shared" si="17"/>
        <v>0.33771908228913888</v>
      </c>
      <c r="O46" s="211">
        <f t="shared" si="18"/>
        <v>0</v>
      </c>
      <c r="P46" s="211">
        <f t="shared" si="22"/>
        <v>7.0921007280719186</v>
      </c>
      <c r="Q46" s="211">
        <f t="shared" si="23"/>
        <v>10.13157246867417</v>
      </c>
      <c r="R46" s="99">
        <f t="shared" si="14"/>
        <v>55.146847374642697</v>
      </c>
      <c r="S46" s="324">
        <f>'Chittenden County Town Employee'!O9</f>
        <v>161</v>
      </c>
      <c r="T46" s="327">
        <f>'C&amp;I Calculations and References'!C61/1000</f>
        <v>594.27700000000004</v>
      </c>
      <c r="U46" s="211"/>
      <c r="V46" s="211">
        <f>'C&amp;I Calculations and References'!G61</f>
        <v>0</v>
      </c>
      <c r="W46" s="92"/>
      <c r="X46" s="92"/>
    </row>
    <row r="47" spans="2:24">
      <c r="C47" s="92" t="s">
        <v>35</v>
      </c>
      <c r="D47" s="211">
        <f t="shared" si="11"/>
        <v>693</v>
      </c>
      <c r="E47" s="211">
        <f t="shared" si="21"/>
        <v>19457.813707999998</v>
      </c>
      <c r="F47" s="211">
        <f t="shared" si="6"/>
        <v>17318.909977951625</v>
      </c>
      <c r="G47" s="211">
        <f t="shared" si="12"/>
        <v>234.03932402637327</v>
      </c>
      <c r="H47" s="211">
        <f t="shared" si="7"/>
        <v>4417.5</v>
      </c>
      <c r="I47" s="211">
        <f t="shared" si="8"/>
        <v>4914.8258045538396</v>
      </c>
      <c r="J47" s="211">
        <f t="shared" si="9"/>
        <v>7021.1797207911986</v>
      </c>
      <c r="K47" s="211">
        <f t="shared" si="13"/>
        <v>53364.268535323034</v>
      </c>
      <c r="L47" s="211">
        <f t="shared" si="15"/>
        <v>28.077653258297254</v>
      </c>
      <c r="M47" s="211">
        <f t="shared" si="16"/>
        <v>24.991212089396285</v>
      </c>
      <c r="N47" s="426">
        <f t="shared" si="17"/>
        <v>0.33771908228913888</v>
      </c>
      <c r="O47" s="211">
        <f t="shared" si="18"/>
        <v>6.3744588744588748</v>
      </c>
      <c r="P47" s="211">
        <f t="shared" si="22"/>
        <v>7.0921007280719186</v>
      </c>
      <c r="Q47" s="211">
        <f t="shared" si="23"/>
        <v>10.131572468674168</v>
      </c>
      <c r="R47" s="99">
        <f t="shared" si="14"/>
        <v>77.00471650118763</v>
      </c>
      <c r="S47" s="324">
        <f>'Chittenden County Town Employee'!O10</f>
        <v>693</v>
      </c>
      <c r="T47" s="327">
        <f>'C&amp;I Calculations and References'!C62/1000</f>
        <v>5702.759</v>
      </c>
      <c r="U47" s="211"/>
      <c r="V47" s="211">
        <f>'C&amp;I Calculations and References'!G62</f>
        <v>44175</v>
      </c>
      <c r="W47" s="92"/>
      <c r="X47" s="92"/>
    </row>
    <row r="48" spans="2:24">
      <c r="C48" s="92" t="s">
        <v>36</v>
      </c>
      <c r="D48" s="211">
        <f t="shared" si="11"/>
        <v>2346</v>
      </c>
      <c r="E48" s="211">
        <f t="shared" si="21"/>
        <v>109271.749816</v>
      </c>
      <c r="F48" s="211">
        <f t="shared" si="6"/>
        <v>58629.383561723684</v>
      </c>
      <c r="G48" s="211">
        <f t="shared" si="12"/>
        <v>792.28896705031991</v>
      </c>
      <c r="H48" s="211">
        <f t="shared" si="7"/>
        <v>67546.899999999994</v>
      </c>
      <c r="I48" s="211">
        <f t="shared" si="8"/>
        <v>16638.068308056721</v>
      </c>
      <c r="J48" s="211">
        <f t="shared" si="9"/>
        <v>23768.669011509599</v>
      </c>
      <c r="K48" s="211">
        <f t="shared" si="13"/>
        <v>276647.05966434034</v>
      </c>
      <c r="L48" s="211">
        <f t="shared" si="15"/>
        <v>46.577898472293263</v>
      </c>
      <c r="M48" s="211">
        <f t="shared" si="16"/>
        <v>24.991212089396285</v>
      </c>
      <c r="N48" s="426">
        <f t="shared" si="17"/>
        <v>0.33771908228913894</v>
      </c>
      <c r="O48" s="211">
        <f t="shared" si="18"/>
        <v>28.79236999147485</v>
      </c>
      <c r="P48" s="211">
        <f t="shared" si="22"/>
        <v>7.0921007280719186</v>
      </c>
      <c r="Q48" s="211">
        <f t="shared" si="23"/>
        <v>10.131572468674168</v>
      </c>
      <c r="R48" s="99">
        <f t="shared" si="14"/>
        <v>117.92287283219962</v>
      </c>
      <c r="S48" s="324">
        <f>'Chittenden County Town Employee'!O11</f>
        <v>2346</v>
      </c>
      <c r="T48" s="327">
        <f>'C&amp;I Calculations and References'!C63/1000</f>
        <v>32025.718000000001</v>
      </c>
      <c r="U48" s="211"/>
      <c r="V48" s="211">
        <f>'C&amp;I Calculations and References'!G63</f>
        <v>675469</v>
      </c>
      <c r="W48" s="92"/>
      <c r="X48" s="92"/>
    </row>
    <row r="49" spans="3:24">
      <c r="C49" s="92" t="s">
        <v>37</v>
      </c>
      <c r="D49" s="211">
        <f t="shared" si="11"/>
        <v>1203</v>
      </c>
      <c r="E49" s="211">
        <f t="shared" si="21"/>
        <v>18374.984799999998</v>
      </c>
      <c r="F49" s="211">
        <f t="shared" si="6"/>
        <v>30064.428143543733</v>
      </c>
      <c r="G49" s="211">
        <f t="shared" si="12"/>
        <v>406.27605599383412</v>
      </c>
      <c r="H49" s="211">
        <f t="shared" si="7"/>
        <v>0</v>
      </c>
      <c r="I49" s="211">
        <f t="shared" si="8"/>
        <v>8531.7971758705189</v>
      </c>
      <c r="J49" s="211">
        <f t="shared" si="9"/>
        <v>12188.281679815025</v>
      </c>
      <c r="K49" s="211">
        <f t="shared" si="13"/>
        <v>69565.767855223108</v>
      </c>
      <c r="L49" s="211">
        <f t="shared" si="15"/>
        <v>15.27430157938487</v>
      </c>
      <c r="M49" s="211">
        <f t="shared" si="16"/>
        <v>24.991212089396289</v>
      </c>
      <c r="N49" s="426">
        <f t="shared" si="17"/>
        <v>0.33771908228913894</v>
      </c>
      <c r="O49" s="211">
        <f t="shared" si="18"/>
        <v>0</v>
      </c>
      <c r="P49" s="211">
        <f t="shared" si="22"/>
        <v>7.0921007280719195</v>
      </c>
      <c r="Q49" s="211">
        <f t="shared" si="23"/>
        <v>10.131572468674168</v>
      </c>
      <c r="R49" s="99">
        <f t="shared" si="14"/>
        <v>57.826905947816385</v>
      </c>
      <c r="S49" s="324">
        <f>'Chittenden County Town Employee'!O12</f>
        <v>1203</v>
      </c>
      <c r="T49" s="327">
        <f>'C&amp;I Calculations and References'!C64/1000</f>
        <v>5385.4</v>
      </c>
      <c r="U49" s="211"/>
      <c r="V49" s="211">
        <f>'C&amp;I Calculations and References'!G64</f>
        <v>0</v>
      </c>
      <c r="W49" s="92"/>
      <c r="X49" s="92"/>
    </row>
    <row r="50" spans="3:24">
      <c r="C50" s="92" t="s">
        <v>38</v>
      </c>
      <c r="D50" s="211">
        <f t="shared" si="11"/>
        <v>3145</v>
      </c>
      <c r="E50" s="211">
        <f t="shared" si="21"/>
        <v>87963.727927999993</v>
      </c>
      <c r="F50" s="211">
        <f t="shared" si="6"/>
        <v>78597.362021151319</v>
      </c>
      <c r="G50" s="211">
        <f t="shared" si="12"/>
        <v>1062.1265137993419</v>
      </c>
      <c r="H50" s="211">
        <f t="shared" si="7"/>
        <v>66796.2</v>
      </c>
      <c r="I50" s="211">
        <f t="shared" si="8"/>
        <v>22304.656789786186</v>
      </c>
      <c r="J50" s="211">
        <f t="shared" si="9"/>
        <v>31863.79541398026</v>
      </c>
      <c r="K50" s="211">
        <f t="shared" si="13"/>
        <v>288587.86866671708</v>
      </c>
      <c r="L50" s="211">
        <f t="shared" si="15"/>
        <v>27.969388848330681</v>
      </c>
      <c r="M50" s="211">
        <f t="shared" si="16"/>
        <v>24.991212089396285</v>
      </c>
      <c r="N50" s="426">
        <f t="shared" si="17"/>
        <v>0.33771908228913888</v>
      </c>
      <c r="O50" s="211">
        <f t="shared" si="18"/>
        <v>21.238855325914148</v>
      </c>
      <c r="P50" s="211">
        <f t="shared" si="22"/>
        <v>7.0921007280719195</v>
      </c>
      <c r="Q50" s="211">
        <f t="shared" si="23"/>
        <v>10.131572468674168</v>
      </c>
      <c r="R50" s="99">
        <f t="shared" si="14"/>
        <v>91.760848542676342</v>
      </c>
      <c r="S50" s="324">
        <f>'Chittenden County Town Employee'!O15</f>
        <v>3145</v>
      </c>
      <c r="T50" s="327">
        <f>'C&amp;I Calculations and References'!C65/1000</f>
        <v>25780.694</v>
      </c>
      <c r="U50" s="211"/>
      <c r="V50" s="211">
        <f>'C&amp;I Calculations and References'!G65</f>
        <v>667962</v>
      </c>
      <c r="W50" s="92"/>
      <c r="X50" s="92"/>
    </row>
    <row r="51" spans="3:24">
      <c r="C51" s="92" t="s">
        <v>39</v>
      </c>
      <c r="D51" s="211">
        <f t="shared" si="11"/>
        <v>18088</v>
      </c>
      <c r="E51" s="211">
        <f t="shared" si="21"/>
        <v>594111.70215999999</v>
      </c>
      <c r="F51" s="211">
        <f t="shared" si="6"/>
        <v>452041.04427300004</v>
      </c>
      <c r="G51" s="211">
        <f t="shared" si="12"/>
        <v>6108.6627604459454</v>
      </c>
      <c r="H51" s="211">
        <f t="shared" si="7"/>
        <v>561893.30000000005</v>
      </c>
      <c r="I51" s="211">
        <f t="shared" si="8"/>
        <v>128281.91796936488</v>
      </c>
      <c r="J51" s="211">
        <f t="shared" si="9"/>
        <v>183259.88281337838</v>
      </c>
      <c r="K51" s="211">
        <f t="shared" si="13"/>
        <v>1925696.5099761894</v>
      </c>
      <c r="L51" s="211">
        <f t="shared" si="15"/>
        <v>32.845627054400708</v>
      </c>
      <c r="M51" s="211">
        <f t="shared" si="16"/>
        <v>24.991212089396289</v>
      </c>
      <c r="N51" s="426">
        <f t="shared" si="17"/>
        <v>0.33771908228913894</v>
      </c>
      <c r="O51" s="211">
        <f t="shared" si="18"/>
        <v>31.064423927465725</v>
      </c>
      <c r="P51" s="211">
        <f t="shared" si="22"/>
        <v>7.0921007280719195</v>
      </c>
      <c r="Q51" s="211">
        <f t="shared" si="23"/>
        <v>10.13157246867417</v>
      </c>
      <c r="R51" s="99">
        <f t="shared" si="14"/>
        <v>106.46265535029795</v>
      </c>
      <c r="S51" s="324">
        <f>'Chittenden County Town Employee'!O14</f>
        <v>18088</v>
      </c>
      <c r="T51" s="327">
        <f>'C&amp;I Calculations and References'!C66/1000</f>
        <v>174124.18</v>
      </c>
      <c r="U51" s="211"/>
      <c r="V51" s="211">
        <f>'C&amp;I Calculations and References'!G66</f>
        <v>5618933</v>
      </c>
      <c r="W51" s="92"/>
      <c r="X51" s="92"/>
    </row>
    <row r="52" spans="3:24">
      <c r="C52" s="92" t="s">
        <v>40</v>
      </c>
      <c r="D52" s="211">
        <f t="shared" si="11"/>
        <v>31</v>
      </c>
      <c r="E52" s="211">
        <f t="shared" si="21"/>
        <v>1593.073036</v>
      </c>
      <c r="F52" s="211">
        <f t="shared" si="6"/>
        <v>774.72757477128494</v>
      </c>
      <c r="G52" s="211">
        <f t="shared" si="12"/>
        <v>10.469291550963307</v>
      </c>
      <c r="H52" s="211">
        <f t="shared" si="7"/>
        <v>0</v>
      </c>
      <c r="I52" s="211">
        <f t="shared" si="8"/>
        <v>219.8551225702295</v>
      </c>
      <c r="J52" s="211">
        <f t="shared" si="9"/>
        <v>314.07874652889922</v>
      </c>
      <c r="K52" s="211">
        <f t="shared" si="13"/>
        <v>2912.2037714213766</v>
      </c>
      <c r="L52" s="211">
        <f t="shared" si="15"/>
        <v>51.389452774193551</v>
      </c>
      <c r="M52" s="211">
        <f t="shared" si="16"/>
        <v>24.991212089396289</v>
      </c>
      <c r="N52" s="426">
        <f t="shared" si="17"/>
        <v>0.33771908228913894</v>
      </c>
      <c r="O52" s="211">
        <f t="shared" si="18"/>
        <v>0</v>
      </c>
      <c r="P52" s="211">
        <f t="shared" si="22"/>
        <v>7.0921007280719195</v>
      </c>
      <c r="Q52" s="211">
        <f t="shared" si="23"/>
        <v>10.131572468674168</v>
      </c>
      <c r="R52" s="99">
        <f t="shared" si="14"/>
        <v>93.94205714262506</v>
      </c>
      <c r="S52" s="324">
        <f>'Chittenden County Town Employee'!O13</f>
        <v>31</v>
      </c>
      <c r="T52" s="327">
        <f>'C&amp;I Calculations and References'!C67/1000</f>
        <v>466.90300000000002</v>
      </c>
      <c r="U52" s="211"/>
      <c r="V52" s="211">
        <f>'C&amp;I Calculations and References'!G67</f>
        <v>0</v>
      </c>
      <c r="W52" s="92"/>
      <c r="X52" s="92"/>
    </row>
    <row r="53" spans="3:24">
      <c r="C53" s="92" t="s">
        <v>41</v>
      </c>
      <c r="D53" s="211">
        <f t="shared" si="11"/>
        <v>261</v>
      </c>
      <c r="E53" s="211">
        <f t="shared" si="21"/>
        <v>4210.8720320000002</v>
      </c>
      <c r="F53" s="211">
        <f t="shared" si="6"/>
        <v>6522.7063553324306</v>
      </c>
      <c r="G53" s="211">
        <f t="shared" si="12"/>
        <v>88.144680477465258</v>
      </c>
      <c r="H53" s="211">
        <f t="shared" si="7"/>
        <v>190.2</v>
      </c>
      <c r="I53" s="211">
        <f t="shared" si="8"/>
        <v>1851.0382900267707</v>
      </c>
      <c r="J53" s="211">
        <f t="shared" si="9"/>
        <v>2644.3404143239577</v>
      </c>
      <c r="K53" s="211">
        <f t="shared" si="13"/>
        <v>15507.301772160627</v>
      </c>
      <c r="L53" s="211">
        <f t="shared" si="15"/>
        <v>16.133609318007665</v>
      </c>
      <c r="M53" s="211">
        <f t="shared" si="16"/>
        <v>24.991212089396285</v>
      </c>
      <c r="N53" s="426">
        <f t="shared" si="17"/>
        <v>0.33771908228913894</v>
      </c>
      <c r="O53" s="211">
        <f t="shared" si="18"/>
        <v>0.72873563218390802</v>
      </c>
      <c r="P53" s="211">
        <f t="shared" si="22"/>
        <v>7.0921007280719186</v>
      </c>
      <c r="Q53" s="211">
        <f t="shared" si="23"/>
        <v>10.131572468674168</v>
      </c>
      <c r="R53" s="99">
        <f t="shared" si="14"/>
        <v>59.414949318623087</v>
      </c>
      <c r="S53" s="324">
        <f>'Chittenden County Town Employee'!O16</f>
        <v>261</v>
      </c>
      <c r="T53" s="327">
        <f>'C&amp;I Calculations and References'!C68/1000</f>
        <v>1234.136</v>
      </c>
      <c r="U53" s="211"/>
      <c r="V53" s="211">
        <f>'C&amp;I Calculations and References'!G68</f>
        <v>1902</v>
      </c>
      <c r="W53" s="92"/>
      <c r="X53" s="92"/>
    </row>
    <row r="54" spans="3:24">
      <c r="C54" s="92" t="s">
        <v>42</v>
      </c>
      <c r="D54" s="211">
        <f t="shared" si="11"/>
        <v>160</v>
      </c>
      <c r="E54" s="211">
        <f t="shared" si="21"/>
        <v>2080.1360359999999</v>
      </c>
      <c r="F54" s="211">
        <f t="shared" si="6"/>
        <v>3998.5939343034056</v>
      </c>
      <c r="G54" s="211">
        <f t="shared" si="12"/>
        <v>54.03505316626223</v>
      </c>
      <c r="H54" s="211">
        <f t="shared" si="7"/>
        <v>0</v>
      </c>
      <c r="I54" s="211">
        <f t="shared" si="8"/>
        <v>1134.7361164915071</v>
      </c>
      <c r="J54" s="211">
        <f t="shared" si="9"/>
        <v>1621.051594987867</v>
      </c>
      <c r="K54" s="211">
        <f t="shared" si="13"/>
        <v>8888.5527349490421</v>
      </c>
      <c r="L54" s="211">
        <f t="shared" si="15"/>
        <v>13.000850224999999</v>
      </c>
      <c r="M54" s="211">
        <f t="shared" si="16"/>
        <v>24.991212089396285</v>
      </c>
      <c r="N54" s="426">
        <f t="shared" si="17"/>
        <v>0.33771908228913894</v>
      </c>
      <c r="O54" s="211">
        <f t="shared" si="18"/>
        <v>0</v>
      </c>
      <c r="P54" s="211">
        <f t="shared" si="22"/>
        <v>7.0921007280719195</v>
      </c>
      <c r="Q54" s="211">
        <f t="shared" si="23"/>
        <v>10.131572468674168</v>
      </c>
      <c r="R54" s="99">
        <f t="shared" si="14"/>
        <v>55.55345459343151</v>
      </c>
      <c r="S54" s="324">
        <f>'Chittenden County Town Employee'!O19</f>
        <v>160</v>
      </c>
      <c r="T54" s="327">
        <f>'C&amp;I Calculations and References'!C69/1000</f>
        <v>609.65300000000002</v>
      </c>
      <c r="U54" s="211"/>
      <c r="V54" s="211">
        <f>'C&amp;I Calculations and References'!G69</f>
        <v>0</v>
      </c>
      <c r="W54" s="92"/>
      <c r="X54" s="92"/>
    </row>
    <row r="55" spans="3:24">
      <c r="C55" s="92" t="s">
        <v>43</v>
      </c>
      <c r="D55" s="211">
        <f t="shared" si="11"/>
        <v>10639</v>
      </c>
      <c r="E55" s="211">
        <f t="shared" si="21"/>
        <v>289833.77986400004</v>
      </c>
      <c r="F55" s="211">
        <f t="shared" si="6"/>
        <v>265881.50541908707</v>
      </c>
      <c r="G55" s="211">
        <f t="shared" si="12"/>
        <v>3592.9933164741487</v>
      </c>
      <c r="H55" s="211">
        <f t="shared" si="7"/>
        <v>316114.3</v>
      </c>
      <c r="I55" s="211">
        <f t="shared" si="8"/>
        <v>75452.859645957142</v>
      </c>
      <c r="J55" s="211">
        <f t="shared" si="9"/>
        <v>107789.79949422448</v>
      </c>
      <c r="K55" s="211">
        <f t="shared" si="13"/>
        <v>1058665.2377397427</v>
      </c>
      <c r="L55" s="211">
        <f t="shared" si="15"/>
        <v>27.242577297114394</v>
      </c>
      <c r="M55" s="211">
        <f t="shared" si="16"/>
        <v>24.991212089396285</v>
      </c>
      <c r="N55" s="426">
        <f t="shared" si="17"/>
        <v>0.33771908228913888</v>
      </c>
      <c r="O55" s="211">
        <f t="shared" si="18"/>
        <v>29.712783156311684</v>
      </c>
      <c r="P55" s="211">
        <f t="shared" si="22"/>
        <v>7.0921007280719186</v>
      </c>
      <c r="Q55" s="211">
        <f t="shared" si="23"/>
        <v>10.131572468674168</v>
      </c>
      <c r="R55" s="99">
        <f t="shared" si="14"/>
        <v>99.507964821857584</v>
      </c>
      <c r="S55" s="324">
        <f>'Chittenden County Town Employee'!O17</f>
        <v>10639</v>
      </c>
      <c r="T55" s="327">
        <f>'C&amp;I Calculations and References'!C70/1000</f>
        <v>84945.422000000006</v>
      </c>
      <c r="U55" s="211"/>
      <c r="V55" s="211">
        <f>'C&amp;I Calculations and References'!G70</f>
        <v>3161143</v>
      </c>
      <c r="W55" s="92"/>
      <c r="X55" s="92"/>
    </row>
    <row r="56" spans="3:24">
      <c r="C56" s="92" t="s">
        <v>44</v>
      </c>
      <c r="D56" s="211">
        <f t="shared" si="11"/>
        <v>2292</v>
      </c>
      <c r="E56" s="211">
        <f t="shared" si="21"/>
        <v>88090.913639999999</v>
      </c>
      <c r="F56" s="211">
        <f t="shared" si="6"/>
        <v>57279.858108896289</v>
      </c>
      <c r="G56" s="211">
        <f t="shared" si="12"/>
        <v>774.05213660670643</v>
      </c>
      <c r="H56" s="211">
        <f t="shared" si="7"/>
        <v>92846.3</v>
      </c>
      <c r="I56" s="211">
        <f t="shared" si="8"/>
        <v>16255.094868740838</v>
      </c>
      <c r="J56" s="211">
        <f t="shared" si="9"/>
        <v>23221.564098201197</v>
      </c>
      <c r="K56" s="211">
        <f t="shared" si="13"/>
        <v>278467.78285244503</v>
      </c>
      <c r="L56" s="211">
        <f t="shared" si="15"/>
        <v>38.4340809947644</v>
      </c>
      <c r="M56" s="211">
        <f t="shared" si="16"/>
        <v>24.991212089396285</v>
      </c>
      <c r="N56" s="426">
        <f t="shared" si="17"/>
        <v>0.33771908228913894</v>
      </c>
      <c r="O56" s="211">
        <f t="shared" si="18"/>
        <v>40.508856893542756</v>
      </c>
      <c r="P56" s="211">
        <f t="shared" si="22"/>
        <v>7.0921007280719186</v>
      </c>
      <c r="Q56" s="211">
        <f t="shared" si="23"/>
        <v>10.13157246867417</v>
      </c>
      <c r="R56" s="99">
        <f t="shared" si="14"/>
        <v>121.49554225673866</v>
      </c>
      <c r="S56" s="324">
        <f>'Chittenden County Town Employee'!O18</f>
        <v>2292</v>
      </c>
      <c r="T56" s="327">
        <f>'C&amp;I Calculations and References'!C71/1000</f>
        <v>25817.97</v>
      </c>
      <c r="U56" s="211"/>
      <c r="V56" s="211">
        <f>'C&amp;I Calculations and References'!G71</f>
        <v>928463</v>
      </c>
      <c r="W56" s="92"/>
      <c r="X56" s="92"/>
    </row>
    <row r="57" spans="3:24">
      <c r="C57" s="92" t="s">
        <v>23</v>
      </c>
      <c r="D57" s="211">
        <f t="shared" si="11"/>
        <v>93254</v>
      </c>
      <c r="E57" s="211">
        <f>SUM(E38:E43,E45:E56)</f>
        <v>2744993.9340480007</v>
      </c>
      <c r="F57" s="211">
        <f>'C&amp;I Chittenden'!G12*1000000</f>
        <v>2330530.4921845612</v>
      </c>
      <c r="G57" s="211">
        <f>'C&amp;I Chittenden'!G13*1000000</f>
        <v>31493.65529979136</v>
      </c>
      <c r="H57" s="211">
        <f t="shared" si="7"/>
        <v>4526016.9000000004</v>
      </c>
      <c r="I57" s="211">
        <f>'C&amp;I Chittenden'!G16*1000000</f>
        <v>661366.76129561872</v>
      </c>
      <c r="J57" s="211">
        <f>'C&amp;I Chittenden'!G14*1000000</f>
        <v>944809.65899374092</v>
      </c>
      <c r="K57" s="211">
        <f>SUM(K38:K56)</f>
        <v>11335004.206001714</v>
      </c>
      <c r="L57" s="211">
        <f t="shared" si="15"/>
        <v>29.435669612542096</v>
      </c>
      <c r="M57" s="211">
        <f t="shared" si="16"/>
        <v>24.991212089396285</v>
      </c>
      <c r="N57" s="426">
        <f t="shared" si="17"/>
        <v>0.33771908228913894</v>
      </c>
      <c r="O57" s="211">
        <f t="shared" si="18"/>
        <v>48.534292362794091</v>
      </c>
      <c r="P57" s="211">
        <f t="shared" si="22"/>
        <v>7.0921007280719186</v>
      </c>
      <c r="Q57" s="211">
        <f t="shared" si="23"/>
        <v>10.131572468674168</v>
      </c>
      <c r="R57" s="99">
        <f>SUM(R38:R56)</f>
        <v>1536.507439397617</v>
      </c>
      <c r="S57" s="324">
        <f>SUM(S38:S56)</f>
        <v>93254</v>
      </c>
      <c r="T57" s="327">
        <f>'C&amp;I Calculations and References'!C72/1000</f>
        <v>776436.43900000001</v>
      </c>
      <c r="U57" s="327"/>
      <c r="V57" s="327">
        <f>SUM(V38:V56)</f>
        <v>45260169</v>
      </c>
      <c r="W57" s="92"/>
      <c r="X57" s="92"/>
    </row>
    <row r="58" spans="3:24">
      <c r="C58" t="s">
        <v>185</v>
      </c>
      <c r="E58" t="s">
        <v>180</v>
      </c>
      <c r="F58" t="s">
        <v>181</v>
      </c>
      <c r="H58" t="s">
        <v>180</v>
      </c>
      <c r="I58" t="s">
        <v>180</v>
      </c>
      <c r="K58" t="s">
        <v>182</v>
      </c>
      <c r="L58" t="s">
        <v>180</v>
      </c>
      <c r="M58" t="s">
        <v>181</v>
      </c>
      <c r="O58" t="s">
        <v>180</v>
      </c>
      <c r="P58" t="s">
        <v>180</v>
      </c>
    </row>
    <row r="61" spans="3:24">
      <c r="C61" s="92"/>
      <c r="D61" s="92"/>
      <c r="E61" s="438" t="s">
        <v>468</v>
      </c>
      <c r="F61" s="439"/>
      <c r="G61" s="439"/>
      <c r="H61" s="439"/>
      <c r="I61" s="439"/>
      <c r="J61" s="439"/>
      <c r="K61" s="440"/>
      <c r="L61" s="441" t="s">
        <v>469</v>
      </c>
      <c r="M61" s="441"/>
      <c r="N61" s="441"/>
      <c r="O61" s="441"/>
      <c r="P61" s="441"/>
      <c r="Q61" s="441"/>
      <c r="R61" s="441"/>
    </row>
    <row r="62" spans="3:24" s="102" customFormat="1" ht="30">
      <c r="C62" s="325"/>
      <c r="D62" s="325" t="s">
        <v>184</v>
      </c>
      <c r="E62" s="325" t="s">
        <v>167</v>
      </c>
      <c r="F62" s="325" t="s">
        <v>107</v>
      </c>
      <c r="G62" s="325" t="s">
        <v>121</v>
      </c>
      <c r="H62" s="325" t="s">
        <v>1</v>
      </c>
      <c r="I62" s="325" t="s">
        <v>178</v>
      </c>
      <c r="J62" s="325" t="s">
        <v>131</v>
      </c>
      <c r="K62" s="325" t="s">
        <v>23</v>
      </c>
      <c r="L62" s="325" t="s">
        <v>167</v>
      </c>
      <c r="M62" s="325" t="s">
        <v>107</v>
      </c>
      <c r="N62" s="325" t="s">
        <v>121</v>
      </c>
      <c r="O62" s="325" t="s">
        <v>1</v>
      </c>
      <c r="P62" s="325" t="s">
        <v>178</v>
      </c>
      <c r="Q62" s="325" t="s">
        <v>131</v>
      </c>
      <c r="R62" s="325" t="s">
        <v>23</v>
      </c>
    </row>
    <row r="63" spans="3:24">
      <c r="C63" s="92" t="s">
        <v>26</v>
      </c>
      <c r="D63" s="92">
        <v>571</v>
      </c>
      <c r="E63" s="211">
        <v>13877.941504</v>
      </c>
      <c r="F63" s="211">
        <v>27615.980312708551</v>
      </c>
      <c r="G63" s="211">
        <f>'RES Kerosene'!J15</f>
        <v>3570.0876396345516</v>
      </c>
      <c r="H63" s="211">
        <v>0</v>
      </c>
      <c r="I63" s="211">
        <v>1932.0040041948705</v>
      </c>
      <c r="J63" s="211">
        <v>3200.9533797311465</v>
      </c>
      <c r="K63" s="211">
        <v>47197.879200634561</v>
      </c>
      <c r="L63" s="426">
        <f>E63/$D63</f>
        <v>24.304626101576183</v>
      </c>
      <c r="M63" s="426">
        <f>F63/$D63</f>
        <v>48.364238726284675</v>
      </c>
      <c r="N63" s="426">
        <f>G63/$D63</f>
        <v>6.2523426263302131</v>
      </c>
      <c r="O63" s="426">
        <f t="shared" ref="O63:Q78" si="24">H63/$D63</f>
        <v>0</v>
      </c>
      <c r="P63" s="426">
        <f t="shared" si="24"/>
        <v>3.3835446658404038</v>
      </c>
      <c r="Q63" s="426">
        <f t="shared" si="24"/>
        <v>5.6058728191438645</v>
      </c>
      <c r="R63" s="426">
        <f>SUM(L63:Q63)</f>
        <v>87.910624939175349</v>
      </c>
      <c r="S63" s="396"/>
    </row>
    <row r="64" spans="3:24">
      <c r="C64" s="92" t="s">
        <v>27</v>
      </c>
      <c r="D64" s="92">
        <v>5</v>
      </c>
      <c r="E64" s="211">
        <v>50.965043999999999</v>
      </c>
      <c r="F64" s="211">
        <v>241.82119363142337</v>
      </c>
      <c r="G64" s="211">
        <f>'RES Kerosene'!J16</f>
        <v>0</v>
      </c>
      <c r="H64" s="211">
        <v>0</v>
      </c>
      <c r="I64" s="211">
        <v>16.917723329202019</v>
      </c>
      <c r="J64" s="211">
        <v>28.029364095719327</v>
      </c>
      <c r="K64" s="211">
        <v>342.73332505634471</v>
      </c>
      <c r="L64" s="426">
        <f t="shared" ref="L64:N82" si="25">E64/$D64</f>
        <v>10.193008799999999</v>
      </c>
      <c r="M64" s="426">
        <f t="shared" si="25"/>
        <v>48.364238726284675</v>
      </c>
      <c r="N64" s="426">
        <f t="shared" si="25"/>
        <v>0</v>
      </c>
      <c r="O64" s="426">
        <f t="shared" si="24"/>
        <v>0</v>
      </c>
      <c r="P64" s="426">
        <f t="shared" si="24"/>
        <v>3.3835446658404038</v>
      </c>
      <c r="Q64" s="426">
        <f t="shared" si="24"/>
        <v>5.6058728191438654</v>
      </c>
      <c r="R64" s="426">
        <f t="shared" ref="R64:R82" si="26">SUM(L64:Q64)</f>
        <v>67.546665011268942</v>
      </c>
      <c r="S64" s="396"/>
    </row>
    <row r="65" spans="3:19">
      <c r="C65" s="92" t="s">
        <v>28</v>
      </c>
      <c r="D65" s="92">
        <v>16101</v>
      </c>
      <c r="E65" s="211">
        <v>292004.79793200002</v>
      </c>
      <c r="F65" s="211">
        <v>143610.35370388025</v>
      </c>
      <c r="G65" s="211">
        <f>'RES Kerosene'!J17</f>
        <v>6297.7950496924113</v>
      </c>
      <c r="H65" s="211">
        <v>923092</v>
      </c>
      <c r="I65" s="211">
        <v>10198.970349890362</v>
      </c>
      <c r="J65" s="211">
        <v>16897.702354847934</v>
      </c>
      <c r="K65" s="211">
        <v>1401904.8243406184</v>
      </c>
      <c r="L65" s="426">
        <f t="shared" si="25"/>
        <v>18.135817522638348</v>
      </c>
      <c r="M65" s="426">
        <f t="shared" si="25"/>
        <v>8.9193437490764698</v>
      </c>
      <c r="N65" s="426">
        <f t="shared" si="25"/>
        <v>0.3911430997883617</v>
      </c>
      <c r="O65" s="426">
        <f t="shared" si="24"/>
        <v>57.331345879137942</v>
      </c>
      <c r="P65" s="426">
        <f t="shared" si="24"/>
        <v>0.63343707533012616</v>
      </c>
      <c r="Q65" s="426">
        <f t="shared" si="24"/>
        <v>1.0494815449256527</v>
      </c>
      <c r="R65" s="426">
        <f t="shared" si="26"/>
        <v>86.460568870896893</v>
      </c>
      <c r="S65" s="396"/>
    </row>
    <row r="66" spans="3:19">
      <c r="C66" s="92" t="s">
        <v>29</v>
      </c>
      <c r="D66" s="92">
        <v>1732</v>
      </c>
      <c r="E66" s="211">
        <v>52287.436252</v>
      </c>
      <c r="F66" s="211">
        <v>83766.861473925062</v>
      </c>
      <c r="G66" s="211">
        <f>'RES Kerosene'!J18</f>
        <v>2848.0474428545303</v>
      </c>
      <c r="H66" s="211">
        <v>0</v>
      </c>
      <c r="I66" s="211">
        <v>5860.2993612355795</v>
      </c>
      <c r="J66" s="211">
        <v>9709.3717227571724</v>
      </c>
      <c r="K66" s="211">
        <v>153355.9688099178</v>
      </c>
      <c r="L66" s="426">
        <f t="shared" si="25"/>
        <v>30.189050953810622</v>
      </c>
      <c r="M66" s="426">
        <f t="shared" si="25"/>
        <v>48.364238726284675</v>
      </c>
      <c r="N66" s="426">
        <f t="shared" si="25"/>
        <v>1.6443691933340245</v>
      </c>
      <c r="O66" s="426">
        <f t="shared" si="24"/>
        <v>0</v>
      </c>
      <c r="P66" s="426">
        <f t="shared" si="24"/>
        <v>3.3835446658404038</v>
      </c>
      <c r="Q66" s="426">
        <f t="shared" si="24"/>
        <v>5.6058728191438636</v>
      </c>
      <c r="R66" s="426">
        <f t="shared" si="26"/>
        <v>89.187076358413606</v>
      </c>
      <c r="S66" s="396"/>
    </row>
    <row r="67" spans="3:19">
      <c r="C67" s="92" t="s">
        <v>30</v>
      </c>
      <c r="D67" s="92">
        <v>7051</v>
      </c>
      <c r="E67" s="211">
        <v>166150.98742799999</v>
      </c>
      <c r="F67" s="211">
        <v>143865.58537515491</v>
      </c>
      <c r="G67" s="211">
        <f>'RES Kerosene'!J19</f>
        <v>30205.348231964235</v>
      </c>
      <c r="H67" s="211">
        <v>256964</v>
      </c>
      <c r="I67" s="211">
        <v>10217.096482028792</v>
      </c>
      <c r="J67" s="211">
        <v>16927.733816379059</v>
      </c>
      <c r="K67" s="211">
        <v>601176.40310156287</v>
      </c>
      <c r="L67" s="426">
        <f t="shared" si="25"/>
        <v>23.564173511274994</v>
      </c>
      <c r="M67" s="426">
        <f t="shared" si="25"/>
        <v>20.40357188698836</v>
      </c>
      <c r="N67" s="426">
        <f t="shared" si="25"/>
        <v>4.2838389209990408</v>
      </c>
      <c r="O67" s="426">
        <f t="shared" si="24"/>
        <v>36.443625017727982</v>
      </c>
      <c r="P67" s="426">
        <f t="shared" si="24"/>
        <v>1.4490280076625714</v>
      </c>
      <c r="Q67" s="426">
        <f t="shared" si="24"/>
        <v>2.4007564623995261</v>
      </c>
      <c r="R67" s="426">
        <f t="shared" si="26"/>
        <v>88.544993807052478</v>
      </c>
      <c r="S67" s="396"/>
    </row>
    <row r="68" spans="3:19">
      <c r="C68" s="92" t="s">
        <v>478</v>
      </c>
      <c r="D68" s="324">
        <f t="shared" ref="D68:K68" si="27">3231+D69</f>
        <v>7869</v>
      </c>
      <c r="E68" s="324">
        <f t="shared" si="27"/>
        <v>110419.45768000001</v>
      </c>
      <c r="F68" s="324">
        <f t="shared" si="27"/>
        <v>77484.153573285206</v>
      </c>
      <c r="G68" s="211">
        <f>'RES Kerosene'!J20</f>
        <v>3369.5209183067677</v>
      </c>
      <c r="H68" s="324">
        <f t="shared" si="27"/>
        <v>250189.76278720555</v>
      </c>
      <c r="I68" s="324">
        <f t="shared" si="27"/>
        <v>8504.3364423106323</v>
      </c>
      <c r="J68" s="324">
        <f t="shared" si="27"/>
        <v>11967.888780159627</v>
      </c>
      <c r="K68" s="324">
        <f t="shared" si="27"/>
        <v>450279.59926296101</v>
      </c>
      <c r="L68" s="426">
        <f t="shared" si="25"/>
        <v>14.032209642902529</v>
      </c>
      <c r="M68" s="426">
        <f t="shared" si="25"/>
        <v>9.8467598898570596</v>
      </c>
      <c r="N68" s="426">
        <f t="shared" si="25"/>
        <v>0.42820192124879497</v>
      </c>
      <c r="O68" s="426">
        <f t="shared" si="24"/>
        <v>31.7943528767576</v>
      </c>
      <c r="P68" s="426">
        <f t="shared" si="24"/>
        <v>1.0807391590177446</v>
      </c>
      <c r="Q68" s="426">
        <f t="shared" si="24"/>
        <v>1.5208906824449899</v>
      </c>
      <c r="R68" s="426">
        <f t="shared" si="26"/>
        <v>58.703154172228722</v>
      </c>
      <c r="S68" s="396"/>
    </row>
    <row r="69" spans="3:19">
      <c r="C69" s="92" t="s">
        <v>32</v>
      </c>
      <c r="D69" s="92">
        <v>4638</v>
      </c>
      <c r="E69" s="211">
        <v>107188.45768000001</v>
      </c>
      <c r="F69" s="211">
        <v>74253.153573285206</v>
      </c>
      <c r="G69" s="211"/>
      <c r="H69" s="211">
        <v>246958.76278720555</v>
      </c>
      <c r="I69" s="211">
        <v>5273.3364423106323</v>
      </c>
      <c r="J69" s="211">
        <v>8736.8887801596265</v>
      </c>
      <c r="K69" s="211">
        <v>447048.59926296101</v>
      </c>
      <c r="L69" s="426">
        <f t="shared" si="25"/>
        <v>23.110922311341096</v>
      </c>
      <c r="M69" s="426">
        <f t="shared" si="25"/>
        <v>16.00973556991919</v>
      </c>
      <c r="N69" s="426">
        <f t="shared" si="25"/>
        <v>0</v>
      </c>
      <c r="O69" s="426">
        <f t="shared" si="24"/>
        <v>53.246822506943843</v>
      </c>
      <c r="P69" s="426">
        <f t="shared" si="24"/>
        <v>1.1369850026542976</v>
      </c>
      <c r="Q69" s="426">
        <f t="shared" si="24"/>
        <v>1.8837621345751674</v>
      </c>
      <c r="R69" s="426">
        <f t="shared" si="26"/>
        <v>95.388227525433592</v>
      </c>
      <c r="S69" s="396"/>
    </row>
    <row r="70" spans="3:19">
      <c r="C70" s="92" t="s">
        <v>33</v>
      </c>
      <c r="D70" s="92">
        <v>1872</v>
      </c>
      <c r="E70" s="211">
        <v>46737.968379999998</v>
      </c>
      <c r="F70" s="211">
        <v>69678.24625798456</v>
      </c>
      <c r="G70" s="211">
        <f>'RES Kerosene'!J21</f>
        <v>7461.0820333935571</v>
      </c>
      <c r="H70" s="211">
        <v>12380.8</v>
      </c>
      <c r="I70" s="211">
        <v>4948.4340737915918</v>
      </c>
      <c r="J70" s="211">
        <v>8198.5889979979002</v>
      </c>
      <c r="K70" s="211">
        <v>143816.03770977404</v>
      </c>
      <c r="L70" s="426">
        <f t="shared" si="25"/>
        <v>24.966863450854699</v>
      </c>
      <c r="M70" s="426">
        <f t="shared" si="25"/>
        <v>37.221285394222519</v>
      </c>
      <c r="N70" s="426">
        <f t="shared" si="25"/>
        <v>3.9856207443341654</v>
      </c>
      <c r="O70" s="426">
        <f t="shared" si="24"/>
        <v>6.6136752136752133</v>
      </c>
      <c r="P70" s="426">
        <f t="shared" si="24"/>
        <v>2.6433942701878159</v>
      </c>
      <c r="Q70" s="426">
        <f t="shared" si="24"/>
        <v>4.3795881399561436</v>
      </c>
      <c r="R70" s="426">
        <f t="shared" si="26"/>
        <v>79.810427213230554</v>
      </c>
      <c r="S70" s="396"/>
    </row>
    <row r="71" spans="3:19">
      <c r="C71" s="92" t="s">
        <v>34</v>
      </c>
      <c r="D71" s="92">
        <v>810</v>
      </c>
      <c r="E71" s="211">
        <v>19523.191040000002</v>
      </c>
      <c r="F71" s="211">
        <v>39175.033368290584</v>
      </c>
      <c r="G71" s="211">
        <f>'RES Kerosene'!J22</f>
        <v>4051.4477708212321</v>
      </c>
      <c r="H71" s="211">
        <v>0</v>
      </c>
      <c r="I71" s="211">
        <v>2740.6711793307268</v>
      </c>
      <c r="J71" s="211">
        <v>4540.7569835065306</v>
      </c>
      <c r="K71" s="211">
        <v>66789.652571127837</v>
      </c>
      <c r="L71" s="426">
        <f t="shared" si="25"/>
        <v>24.102704987654324</v>
      </c>
      <c r="M71" s="426">
        <f t="shared" si="25"/>
        <v>48.364238726284668</v>
      </c>
      <c r="N71" s="426">
        <f t="shared" si="25"/>
        <v>5.0017873713842373</v>
      </c>
      <c r="O71" s="426">
        <f t="shared" si="24"/>
        <v>0</v>
      </c>
      <c r="P71" s="426">
        <f t="shared" si="24"/>
        <v>3.3835446658404034</v>
      </c>
      <c r="Q71" s="426">
        <f t="shared" si="24"/>
        <v>5.6058728191438645</v>
      </c>
      <c r="R71" s="426">
        <f t="shared" si="26"/>
        <v>86.4581485703075</v>
      </c>
      <c r="S71" s="396"/>
    </row>
    <row r="72" spans="3:19">
      <c r="C72" s="92" t="s">
        <v>35</v>
      </c>
      <c r="D72" s="92">
        <v>1916</v>
      </c>
      <c r="E72" s="211">
        <v>52031.061984</v>
      </c>
      <c r="F72" s="211">
        <v>58362.975498140906</v>
      </c>
      <c r="G72" s="211">
        <f>'RES Kerosene'!J23</f>
        <v>762.15354104557844</v>
      </c>
      <c r="H72" s="211">
        <v>46431.199999999997</v>
      </c>
      <c r="I72" s="211">
        <v>4144.8422156544957</v>
      </c>
      <c r="J72" s="211">
        <v>6867.1942034512331</v>
      </c>
      <c r="K72" s="211">
        <v>169753.27390124663</v>
      </c>
      <c r="L72" s="426">
        <f t="shared" si="25"/>
        <v>27.156086630480168</v>
      </c>
      <c r="M72" s="426">
        <f t="shared" si="25"/>
        <v>30.460843161868947</v>
      </c>
      <c r="N72" s="426">
        <f t="shared" si="25"/>
        <v>0.39778368530562547</v>
      </c>
      <c r="O72" s="426">
        <f t="shared" si="24"/>
        <v>24.23340292275574</v>
      </c>
      <c r="P72" s="426">
        <f t="shared" si="24"/>
        <v>2.1632788181912819</v>
      </c>
      <c r="Q72" s="426">
        <f t="shared" si="24"/>
        <v>3.5841305863524182</v>
      </c>
      <c r="R72" s="426">
        <f t="shared" si="26"/>
        <v>87.995525804954184</v>
      </c>
      <c r="S72" s="396"/>
    </row>
    <row r="73" spans="3:19">
      <c r="C73" s="92" t="s">
        <v>36</v>
      </c>
      <c r="D73" s="92">
        <v>4211</v>
      </c>
      <c r="E73" s="211">
        <v>111412.708164</v>
      </c>
      <c r="F73" s="211">
        <v>111068.31561635999</v>
      </c>
      <c r="G73" s="211">
        <f>'RES Kerosene'!J24</f>
        <v>15243.070820911569</v>
      </c>
      <c r="H73" s="211">
        <v>112098.3</v>
      </c>
      <c r="I73" s="211">
        <v>7887.8885022404411</v>
      </c>
      <c r="J73" s="211">
        <v>13068.691009629132</v>
      </c>
      <c r="K73" s="211">
        <v>359746.90329222952</v>
      </c>
      <c r="L73" s="426">
        <f t="shared" si="25"/>
        <v>26.457541715507006</v>
      </c>
      <c r="M73" s="426">
        <f t="shared" si="25"/>
        <v>26.375757686145807</v>
      </c>
      <c r="N73" s="426">
        <f t="shared" si="25"/>
        <v>3.6198220899813749</v>
      </c>
      <c r="O73" s="426">
        <f t="shared" si="24"/>
        <v>26.6203514604607</v>
      </c>
      <c r="P73" s="426">
        <f t="shared" si="24"/>
        <v>1.8731627884684021</v>
      </c>
      <c r="Q73" s="426">
        <f t="shared" si="24"/>
        <v>3.1034649749772338</v>
      </c>
      <c r="R73" s="426">
        <f t="shared" si="26"/>
        <v>88.050100715540523</v>
      </c>
      <c r="S73" s="396"/>
    </row>
    <row r="74" spans="3:19">
      <c r="C74" s="92" t="s">
        <v>37</v>
      </c>
      <c r="D74" s="92">
        <v>1708</v>
      </c>
      <c r="E74" s="211">
        <v>44935.770451999997</v>
      </c>
      <c r="F74" s="211">
        <v>82606.119744494223</v>
      </c>
      <c r="G74" s="211">
        <f>'RES Kerosene'!J25</f>
        <v>11111.39636155922</v>
      </c>
      <c r="H74" s="211">
        <v>0</v>
      </c>
      <c r="I74" s="211">
        <v>5779.0942892554094</v>
      </c>
      <c r="J74" s="211">
        <v>9574.8307750977219</v>
      </c>
      <c r="K74" s="211">
        <v>144603.81526084733</v>
      </c>
      <c r="L74" s="426">
        <f t="shared" si="25"/>
        <v>26.308999093676814</v>
      </c>
      <c r="M74" s="426">
        <f t="shared" si="25"/>
        <v>48.364238726284675</v>
      </c>
      <c r="N74" s="426">
        <f t="shared" si="25"/>
        <v>6.5055013826459138</v>
      </c>
      <c r="O74" s="426">
        <f t="shared" si="24"/>
        <v>0</v>
      </c>
      <c r="P74" s="426">
        <f t="shared" si="24"/>
        <v>3.3835446658404038</v>
      </c>
      <c r="Q74" s="426">
        <f t="shared" si="24"/>
        <v>5.6058728191438654</v>
      </c>
      <c r="R74" s="426">
        <f t="shared" si="26"/>
        <v>90.168156687591676</v>
      </c>
      <c r="S74" s="396"/>
    </row>
    <row r="75" spans="3:19">
      <c r="C75" s="92" t="s">
        <v>38</v>
      </c>
      <c r="D75" s="92">
        <v>2787</v>
      </c>
      <c r="E75" s="211">
        <v>83285.872516000003</v>
      </c>
      <c r="F75" s="211">
        <v>59043.593288206692</v>
      </c>
      <c r="G75" s="211">
        <f>'RES Kerosene'!J26</f>
        <v>5976.8882955679574</v>
      </c>
      <c r="H75" s="211">
        <v>128126.39999999999</v>
      </c>
      <c r="I75" s="211">
        <v>4193.1785680236444</v>
      </c>
      <c r="J75" s="211">
        <v>6947.2781008675738</v>
      </c>
      <c r="K75" s="211">
        <v>284383.32247309794</v>
      </c>
      <c r="L75" s="426">
        <f t="shared" si="25"/>
        <v>29.883700221026196</v>
      </c>
      <c r="M75" s="426">
        <f t="shared" si="25"/>
        <v>21.18535819454851</v>
      </c>
      <c r="N75" s="426">
        <f t="shared" si="25"/>
        <v>2.1445598477100671</v>
      </c>
      <c r="O75" s="426">
        <f t="shared" si="24"/>
        <v>45.972874058127019</v>
      </c>
      <c r="P75" s="426">
        <f t="shared" si="24"/>
        <v>1.504549181206905</v>
      </c>
      <c r="Q75" s="426">
        <f t="shared" si="24"/>
        <v>2.4927442055499007</v>
      </c>
      <c r="R75" s="426">
        <f t="shared" si="26"/>
        <v>103.1837857081686</v>
      </c>
      <c r="S75" s="396"/>
    </row>
    <row r="76" spans="3:19">
      <c r="C76" s="92" t="s">
        <v>39</v>
      </c>
      <c r="D76" s="92">
        <v>7807</v>
      </c>
      <c r="E76" s="211">
        <v>174770.17369600001</v>
      </c>
      <c r="F76" s="211">
        <v>103794.21298503195</v>
      </c>
      <c r="G76" s="211">
        <f>'RES Kerosene'!J27</f>
        <v>5134.5080659912646</v>
      </c>
      <c r="H76" s="211">
        <v>451934.1</v>
      </c>
      <c r="I76" s="211">
        <v>7371.2937362951661</v>
      </c>
      <c r="J76" s="211">
        <v>12212.79435599199</v>
      </c>
      <c r="K76" s="211">
        <v>757889.57477331918</v>
      </c>
      <c r="L76" s="426">
        <f t="shared" si="25"/>
        <v>22.386342218009482</v>
      </c>
      <c r="M76" s="426">
        <f t="shared" si="25"/>
        <v>13.295018955428711</v>
      </c>
      <c r="N76" s="426">
        <f t="shared" si="25"/>
        <v>0.65768003919447482</v>
      </c>
      <c r="O76" s="426">
        <f t="shared" si="24"/>
        <v>57.888318175995899</v>
      </c>
      <c r="P76" s="426">
        <f t="shared" si="24"/>
        <v>0.94419030822277006</v>
      </c>
      <c r="Q76" s="426">
        <f t="shared" si="24"/>
        <v>1.5643389722034058</v>
      </c>
      <c r="R76" s="426">
        <f t="shared" si="26"/>
        <v>96.735888669054745</v>
      </c>
      <c r="S76" s="396"/>
    </row>
    <row r="77" spans="3:19">
      <c r="C77" s="92" t="s">
        <v>40</v>
      </c>
      <c r="D77" s="92">
        <v>293</v>
      </c>
      <c r="E77" s="211">
        <v>7493.663004</v>
      </c>
      <c r="F77" s="211">
        <v>14170.721946801408</v>
      </c>
      <c r="G77" s="211">
        <f>'RES Kerosene'!J28</f>
        <v>842.38022957669193</v>
      </c>
      <c r="H77" s="211">
        <v>0</v>
      </c>
      <c r="I77" s="211">
        <v>991.3785870912385</v>
      </c>
      <c r="J77" s="211">
        <v>1642.5207360091524</v>
      </c>
      <c r="K77" s="211">
        <v>24591.284273901801</v>
      </c>
      <c r="L77" s="426">
        <f t="shared" si="25"/>
        <v>25.575641651877135</v>
      </c>
      <c r="M77" s="426">
        <f t="shared" si="25"/>
        <v>48.364238726284668</v>
      </c>
      <c r="N77" s="426">
        <f t="shared" si="25"/>
        <v>2.8750178483846143</v>
      </c>
      <c r="O77" s="426">
        <f t="shared" si="24"/>
        <v>0</v>
      </c>
      <c r="P77" s="426">
        <f t="shared" si="24"/>
        <v>3.3835446658404043</v>
      </c>
      <c r="Q77" s="426">
        <f t="shared" si="24"/>
        <v>5.6058728191438645</v>
      </c>
      <c r="R77" s="426">
        <f t="shared" si="26"/>
        <v>85.804315711530691</v>
      </c>
      <c r="S77" s="396"/>
    </row>
    <row r="78" spans="3:19">
      <c r="C78" s="92" t="s">
        <v>41</v>
      </c>
      <c r="D78" s="92">
        <v>1246</v>
      </c>
      <c r="E78" s="211">
        <v>33190.588259999997</v>
      </c>
      <c r="F78" s="211">
        <v>49727.637286681282</v>
      </c>
      <c r="G78" s="211">
        <f>'RES Kerosene'!J29</f>
        <v>561.58681971779458</v>
      </c>
      <c r="H78" s="211">
        <v>7167.1</v>
      </c>
      <c r="I78" s="211">
        <v>3531.5747449709215</v>
      </c>
      <c r="J78" s="211">
        <v>5851.129754981409</v>
      </c>
      <c r="K78" s="211">
        <v>100714.0300466336</v>
      </c>
      <c r="L78" s="426">
        <f t="shared" si="25"/>
        <v>26.637711284109148</v>
      </c>
      <c r="M78" s="426">
        <f t="shared" si="25"/>
        <v>39.909821257368606</v>
      </c>
      <c r="N78" s="426">
        <f t="shared" si="25"/>
        <v>0.45071173332086245</v>
      </c>
      <c r="O78" s="426">
        <f t="shared" si="24"/>
        <v>5.7520866773675765</v>
      </c>
      <c r="P78" s="426">
        <f t="shared" si="24"/>
        <v>2.8343296508594875</v>
      </c>
      <c r="Q78" s="426">
        <f t="shared" si="24"/>
        <v>4.6959307824890919</v>
      </c>
      <c r="R78" s="426">
        <f t="shared" si="26"/>
        <v>80.280591385514754</v>
      </c>
      <c r="S78" s="396"/>
    </row>
    <row r="79" spans="3:19">
      <c r="C79" s="92" t="s">
        <v>42</v>
      </c>
      <c r="D79" s="92">
        <v>823</v>
      </c>
      <c r="E79" s="211">
        <v>22896.61838</v>
      </c>
      <c r="F79" s="211">
        <v>39803.768471732292</v>
      </c>
      <c r="G79" s="211">
        <f>'RES Kerosene'!J30</f>
        <v>1163.286983701146</v>
      </c>
      <c r="H79" s="211">
        <v>0</v>
      </c>
      <c r="I79" s="211">
        <v>2784.6572599866527</v>
      </c>
      <c r="J79" s="211">
        <v>4613.6333301554014</v>
      </c>
      <c r="K79" s="211">
        <v>70921.677441874344</v>
      </c>
      <c r="L79" s="426">
        <f t="shared" si="25"/>
        <v>27.820921482381532</v>
      </c>
      <c r="M79" s="426">
        <f t="shared" si="25"/>
        <v>48.364238726284682</v>
      </c>
      <c r="N79" s="426">
        <f t="shared" si="25"/>
        <v>1.4134714261253294</v>
      </c>
      <c r="O79" s="426">
        <f t="shared" ref="O79:O82" si="28">H79/$D79</f>
        <v>0</v>
      </c>
      <c r="P79" s="426">
        <f t="shared" ref="P79:P82" si="29">I79/$D79</f>
        <v>3.3835446658404043</v>
      </c>
      <c r="Q79" s="426">
        <f t="shared" ref="Q79:Q82" si="30">J79/$D79</f>
        <v>5.6058728191438654</v>
      </c>
      <c r="R79" s="426">
        <f t="shared" si="26"/>
        <v>86.588049119775818</v>
      </c>
      <c r="S79" s="396"/>
    </row>
    <row r="80" spans="3:19">
      <c r="C80" s="92" t="s">
        <v>43</v>
      </c>
      <c r="D80" s="92">
        <v>3479</v>
      </c>
      <c r="E80" s="211">
        <v>87764.610432000001</v>
      </c>
      <c r="F80" s="211">
        <v>66062.464248260076</v>
      </c>
      <c r="G80" s="211">
        <f>'RES Kerosene'!J31</f>
        <v>6458.2484267546388</v>
      </c>
      <c r="H80" s="211">
        <v>150740.20000000001</v>
      </c>
      <c r="I80" s="211">
        <v>4691.6472018304903</v>
      </c>
      <c r="J80" s="211">
        <v>7773.1432929735893</v>
      </c>
      <c r="K80" s="211">
        <v>320511.06517506414</v>
      </c>
      <c r="L80" s="426">
        <f t="shared" si="25"/>
        <v>25.226964769186548</v>
      </c>
      <c r="M80" s="426">
        <f t="shared" si="25"/>
        <v>18.988923325168173</v>
      </c>
      <c r="N80" s="426">
        <f t="shared" si="25"/>
        <v>1.8563519479030293</v>
      </c>
      <c r="O80" s="426">
        <f t="shared" si="28"/>
        <v>43.328600172463354</v>
      </c>
      <c r="P80" s="426">
        <f t="shared" si="29"/>
        <v>1.348562001101032</v>
      </c>
      <c r="Q80" s="426">
        <f t="shared" si="30"/>
        <v>2.2343039071496378</v>
      </c>
      <c r="R80" s="426">
        <f t="shared" si="26"/>
        <v>92.983706122971782</v>
      </c>
      <c r="S80" s="396"/>
    </row>
    <row r="81" spans="3:19">
      <c r="C81" s="92" t="s">
        <v>44</v>
      </c>
      <c r="D81" s="92">
        <v>2994</v>
      </c>
      <c r="E81" s="211">
        <v>55751.588671999998</v>
      </c>
      <c r="F81" s="211">
        <v>33180.117265706933</v>
      </c>
      <c r="G81" s="211">
        <f>'RES Kerosene'!J32</f>
        <v>762.15354104557844</v>
      </c>
      <c r="H81" s="211">
        <v>160942.29999999999</v>
      </c>
      <c r="I81" s="211">
        <v>2356.3971779959957</v>
      </c>
      <c r="J81" s="211">
        <v>3904.0899990466196</v>
      </c>
      <c r="K81" s="211">
        <v>259128.49311474952</v>
      </c>
      <c r="L81" s="426">
        <f t="shared" si="25"/>
        <v>18.621105100868402</v>
      </c>
      <c r="M81" s="426">
        <f t="shared" si="25"/>
        <v>11.082203495560098</v>
      </c>
      <c r="N81" s="426">
        <f t="shared" si="25"/>
        <v>0.25456030095042698</v>
      </c>
      <c r="O81" s="426">
        <f t="shared" si="28"/>
        <v>53.754943219772876</v>
      </c>
      <c r="P81" s="426">
        <f t="shared" si="29"/>
        <v>0.78703980560988496</v>
      </c>
      <c r="Q81" s="426">
        <f t="shared" si="30"/>
        <v>1.3039712755666732</v>
      </c>
      <c r="R81" s="426">
        <f t="shared" si="26"/>
        <v>85.803823198328345</v>
      </c>
      <c r="S81" s="396"/>
    </row>
    <row r="82" spans="3:19">
      <c r="C82" s="92" t="s">
        <v>23</v>
      </c>
      <c r="D82" s="92">
        <v>63275</v>
      </c>
      <c r="E82" s="211">
        <v>1455158.9621639999</v>
      </c>
      <c r="F82" s="211">
        <v>1241841.2656419817</v>
      </c>
      <c r="G82" s="211">
        <f>'RES Kerosene'!J33</f>
        <v>105819.00217253873</v>
      </c>
      <c r="H82" s="211">
        <v>2688772.6</v>
      </c>
      <c r="I82" s="211">
        <v>87889.264774379146</v>
      </c>
      <c r="J82" s="211">
        <v>145615.34992204831</v>
      </c>
      <c r="K82" s="211">
        <v>5682552.4425024083</v>
      </c>
      <c r="L82" s="426">
        <f t="shared" si="25"/>
        <v>22.997375933054126</v>
      </c>
      <c r="M82" s="426">
        <f t="shared" si="25"/>
        <v>19.626096651789517</v>
      </c>
      <c r="N82" s="426">
        <f t="shared" si="25"/>
        <v>1.6723666878315091</v>
      </c>
      <c r="O82" s="426">
        <f t="shared" si="28"/>
        <v>42.493442907941528</v>
      </c>
      <c r="P82" s="426">
        <f t="shared" si="29"/>
        <v>1.3890045796029893</v>
      </c>
      <c r="Q82" s="426">
        <f t="shared" si="30"/>
        <v>2.3013093626558403</v>
      </c>
      <c r="R82" s="426">
        <f t="shared" si="26"/>
        <v>90.479596122875506</v>
      </c>
      <c r="S82" s="396"/>
    </row>
    <row r="83" spans="3:19">
      <c r="C83" t="s">
        <v>185</v>
      </c>
      <c r="D83" t="s">
        <v>182</v>
      </c>
      <c r="E83" t="s">
        <v>182</v>
      </c>
      <c r="F83" t="s">
        <v>180</v>
      </c>
      <c r="H83" t="s">
        <v>181</v>
      </c>
      <c r="I83" t="s">
        <v>180</v>
      </c>
      <c r="J83" t="s">
        <v>180</v>
      </c>
    </row>
    <row r="88" spans="3:19">
      <c r="C88" t="s">
        <v>457</v>
      </c>
      <c r="D88" t="s">
        <v>458</v>
      </c>
    </row>
    <row r="89" spans="3:19">
      <c r="C89" t="s">
        <v>460</v>
      </c>
      <c r="D89" t="s">
        <v>461</v>
      </c>
    </row>
    <row r="90" spans="3:19">
      <c r="C90" t="s">
        <v>462</v>
      </c>
      <c r="D90" t="s">
        <v>463</v>
      </c>
    </row>
    <row r="91" spans="3:19">
      <c r="C91" t="s">
        <v>459</v>
      </c>
      <c r="D91" t="s">
        <v>464</v>
      </c>
    </row>
    <row r="92" spans="3:19">
      <c r="C92">
        <v>1</v>
      </c>
      <c r="D92" t="s">
        <v>466</v>
      </c>
    </row>
  </sheetData>
  <mergeCells count="6">
    <mergeCell ref="E36:K36"/>
    <mergeCell ref="L36:R36"/>
    <mergeCell ref="E61:K61"/>
    <mergeCell ref="L61:R61"/>
    <mergeCell ref="E8:K8"/>
    <mergeCell ref="L8:R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pane xSplit="1" ySplit="2" topLeftCell="B3" activePane="bottomRight" state="frozen"/>
      <selection activeCell="V33" sqref="V33:V50"/>
      <selection pane="topRight" activeCell="V33" sqref="V33:V50"/>
      <selection pane="bottomLeft" activeCell="V33" sqref="V33:V50"/>
      <selection pane="bottomRight" activeCell="K6" sqref="K6:L7"/>
    </sheetView>
  </sheetViews>
  <sheetFormatPr defaultRowHeight="12.75"/>
  <cols>
    <col min="1" max="1" width="19.5703125" style="328" customWidth="1"/>
    <col min="2" max="2" width="14.140625" style="328" customWidth="1"/>
    <col min="3" max="3" width="15.140625" style="328" customWidth="1"/>
    <col min="4" max="4" width="14.140625" style="328" customWidth="1"/>
    <col min="5" max="5" width="12.140625" style="328" customWidth="1"/>
    <col min="6" max="6" width="11.85546875" style="328" customWidth="1"/>
    <col min="7" max="7" width="15.5703125" style="328" customWidth="1"/>
    <col min="8" max="8" width="13.5703125" style="328" customWidth="1"/>
    <col min="9" max="9" width="12.85546875" style="328" customWidth="1"/>
    <col min="10" max="16384" width="9.140625" style="328"/>
  </cols>
  <sheetData>
    <row r="1" spans="1:12" ht="13.5" thickBot="1">
      <c r="A1" s="367"/>
      <c r="B1" s="335" t="s">
        <v>449</v>
      </c>
      <c r="C1" s="336"/>
      <c r="D1" s="335" t="s">
        <v>450</v>
      </c>
      <c r="E1" s="337"/>
      <c r="F1" s="338" t="s">
        <v>451</v>
      </c>
      <c r="G1" s="339"/>
      <c r="H1" s="339"/>
      <c r="I1" s="340"/>
    </row>
    <row r="2" spans="1:12" ht="51.75" thickBot="1">
      <c r="A2" s="368" t="s">
        <v>248</v>
      </c>
      <c r="B2" s="342" t="s">
        <v>436</v>
      </c>
      <c r="C2" s="343" t="s">
        <v>24</v>
      </c>
      <c r="D2" s="344" t="s">
        <v>25</v>
      </c>
      <c r="E2" s="345" t="s">
        <v>437</v>
      </c>
      <c r="F2" s="346" t="s">
        <v>438</v>
      </c>
      <c r="G2" s="347" t="s">
        <v>309</v>
      </c>
      <c r="H2" s="347" t="s">
        <v>308</v>
      </c>
      <c r="I2" s="348" t="s">
        <v>307</v>
      </c>
      <c r="K2" s="349" t="s">
        <v>439</v>
      </c>
      <c r="L2" s="349" t="s">
        <v>440</v>
      </c>
    </row>
    <row r="3" spans="1:12" ht="15">
      <c r="A3" s="369" t="s">
        <v>26</v>
      </c>
      <c r="B3" s="364">
        <v>3176166</v>
      </c>
      <c r="C3" s="364">
        <v>4043162</v>
      </c>
      <c r="D3" s="370">
        <v>54478.5</v>
      </c>
      <c r="E3" s="365">
        <v>14724.2</v>
      </c>
      <c r="F3" s="353">
        <v>446</v>
      </c>
      <c r="G3" s="354">
        <f t="shared" ref="G3:G21" si="0">C3/F3</f>
        <v>9065.3856502242161</v>
      </c>
      <c r="H3" s="354">
        <f t="shared" ref="H3:H21" si="1">E3/F3</f>
        <v>33.01390134529148</v>
      </c>
      <c r="I3" s="355">
        <f t="shared" ref="I3:I21" si="2">E3/(C3+E3)</f>
        <v>3.6285394104940646E-3</v>
      </c>
      <c r="K3" s="356">
        <f>B3+C3</f>
        <v>7219328</v>
      </c>
      <c r="L3" s="356">
        <f>D3+E3</f>
        <v>69202.7</v>
      </c>
    </row>
    <row r="4" spans="1:12" ht="15">
      <c r="A4" s="369" t="s">
        <v>27</v>
      </c>
      <c r="B4" s="364">
        <v>0</v>
      </c>
      <c r="C4" s="364">
        <v>14176</v>
      </c>
      <c r="D4" s="370">
        <v>0</v>
      </c>
      <c r="E4" s="365">
        <v>0</v>
      </c>
      <c r="F4" s="353">
        <v>5</v>
      </c>
      <c r="G4" s="354">
        <f t="shared" si="0"/>
        <v>2835.2</v>
      </c>
      <c r="H4" s="354">
        <f t="shared" si="1"/>
        <v>0</v>
      </c>
      <c r="I4" s="355">
        <f t="shared" si="2"/>
        <v>0</v>
      </c>
      <c r="K4" s="356">
        <f t="shared" ref="K4:K21" si="3">B4+C4</f>
        <v>14176</v>
      </c>
      <c r="L4" s="356">
        <f t="shared" ref="L4:L21" si="4">D4+E4</f>
        <v>0</v>
      </c>
    </row>
    <row r="5" spans="1:12" ht="15">
      <c r="A5" s="369" t="s">
        <v>28</v>
      </c>
      <c r="B5" s="364">
        <v>271513034</v>
      </c>
      <c r="C5" s="364">
        <v>87702905</v>
      </c>
      <c r="D5" s="370">
        <v>2942000</v>
      </c>
      <c r="E5" s="365">
        <v>3227000</v>
      </c>
      <c r="F5" s="353">
        <v>16060</v>
      </c>
      <c r="G5" s="354">
        <f t="shared" si="0"/>
        <v>5460.9529887920298</v>
      </c>
      <c r="H5" s="354">
        <f t="shared" si="1"/>
        <v>200.93399750933997</v>
      </c>
      <c r="I5" s="355">
        <f t="shared" si="2"/>
        <v>3.5488874644705723E-2</v>
      </c>
      <c r="K5" s="356">
        <f t="shared" si="3"/>
        <v>359215939</v>
      </c>
      <c r="L5" s="356">
        <f t="shared" si="4"/>
        <v>6169000</v>
      </c>
    </row>
    <row r="6" spans="1:12" ht="15">
      <c r="A6" s="369" t="s">
        <v>29</v>
      </c>
      <c r="B6" s="364">
        <v>3064393</v>
      </c>
      <c r="C6" s="364">
        <v>15534672</v>
      </c>
      <c r="D6" s="370">
        <v>6481.8</v>
      </c>
      <c r="E6" s="365">
        <v>763691.3</v>
      </c>
      <c r="F6" s="353">
        <v>1728</v>
      </c>
      <c r="G6" s="354">
        <f t="shared" si="0"/>
        <v>8989.9722222222226</v>
      </c>
      <c r="H6" s="354">
        <f t="shared" si="1"/>
        <v>441.95098379629633</v>
      </c>
      <c r="I6" s="355">
        <f t="shared" si="2"/>
        <v>4.6856931947271051E-2</v>
      </c>
      <c r="K6" s="356">
        <f t="shared" si="3"/>
        <v>18599065</v>
      </c>
      <c r="L6" s="356">
        <f t="shared" si="4"/>
        <v>770173.10000000009</v>
      </c>
    </row>
    <row r="7" spans="1:12" ht="15">
      <c r="A7" s="350" t="s">
        <v>30</v>
      </c>
      <c r="B7" s="364">
        <v>82438074</v>
      </c>
      <c r="C7" s="364">
        <v>49548247</v>
      </c>
      <c r="D7" s="370">
        <v>4520543</v>
      </c>
      <c r="E7" s="365">
        <v>4749070</v>
      </c>
      <c r="F7" s="353">
        <v>7035</v>
      </c>
      <c r="G7" s="354">
        <v>7043</v>
      </c>
      <c r="H7" s="354">
        <v>675</v>
      </c>
      <c r="I7" s="355">
        <v>8.6999999999999994E-2</v>
      </c>
      <c r="K7" s="356">
        <f t="shared" ref="K7" si="5">B7+C7</f>
        <v>131986321</v>
      </c>
      <c r="L7" s="356">
        <f t="shared" ref="L7" si="6">D7+E7</f>
        <v>9269613</v>
      </c>
    </row>
    <row r="8" spans="1:12" ht="15">
      <c r="A8" s="369" t="s">
        <v>31</v>
      </c>
      <c r="B8" s="364">
        <v>36002999</v>
      </c>
      <c r="C8" s="364">
        <v>24896166</v>
      </c>
      <c r="D8" s="370">
        <v>1796195.7</v>
      </c>
      <c r="E8" s="365">
        <v>1216681.8</v>
      </c>
      <c r="F8" s="353">
        <v>3186</v>
      </c>
      <c r="G8" s="354">
        <f t="shared" si="0"/>
        <v>7814.2391713747647</v>
      </c>
      <c r="H8" s="354">
        <f t="shared" si="1"/>
        <v>381.88380414312621</v>
      </c>
      <c r="I8" s="355">
        <f t="shared" si="2"/>
        <v>4.659322527051224E-2</v>
      </c>
      <c r="K8" s="356">
        <f t="shared" si="3"/>
        <v>60899165</v>
      </c>
      <c r="L8" s="356">
        <f t="shared" si="4"/>
        <v>3012877.5</v>
      </c>
    </row>
    <row r="9" spans="1:12" ht="15">
      <c r="A9" s="369" t="s">
        <v>32</v>
      </c>
      <c r="B9" s="364">
        <f>26371598</f>
        <v>26371598</v>
      </c>
      <c r="C9" s="364">
        <v>31861910</v>
      </c>
      <c r="D9" s="370">
        <v>5686527</v>
      </c>
      <c r="E9" s="365">
        <v>2385787</v>
      </c>
      <c r="F9" s="353">
        <v>4606</v>
      </c>
      <c r="G9" s="354">
        <f t="shared" si="0"/>
        <v>6917.4793747286149</v>
      </c>
      <c r="H9" s="354">
        <f t="shared" si="1"/>
        <v>517.97372991749887</v>
      </c>
      <c r="I9" s="355">
        <f t="shared" si="2"/>
        <v>6.9662698779424492E-2</v>
      </c>
      <c r="K9" s="356">
        <f t="shared" si="3"/>
        <v>58233508</v>
      </c>
      <c r="L9" s="356">
        <f t="shared" si="4"/>
        <v>8072314</v>
      </c>
    </row>
    <row r="10" spans="1:12" ht="15">
      <c r="A10" s="369" t="s">
        <v>33</v>
      </c>
      <c r="B10" s="364">
        <v>17000715</v>
      </c>
      <c r="C10" s="364">
        <v>13732963</v>
      </c>
      <c r="D10" s="370">
        <v>315769.2</v>
      </c>
      <c r="E10" s="365">
        <v>323931</v>
      </c>
      <c r="F10" s="353">
        <v>1858</v>
      </c>
      <c r="G10" s="354">
        <f t="shared" si="0"/>
        <v>7391.2610333692146</v>
      </c>
      <c r="H10" s="354">
        <f t="shared" si="1"/>
        <v>174.34391819160388</v>
      </c>
      <c r="I10" s="355">
        <f t="shared" si="2"/>
        <v>2.3044279909914665E-2</v>
      </c>
      <c r="K10" s="356">
        <f t="shared" si="3"/>
        <v>30733678</v>
      </c>
      <c r="L10" s="356">
        <f t="shared" si="4"/>
        <v>639700.19999999995</v>
      </c>
    </row>
    <row r="11" spans="1:12" ht="15">
      <c r="A11" s="369" t="s">
        <v>34</v>
      </c>
      <c r="B11" s="364">
        <v>571214</v>
      </c>
      <c r="C11" s="364">
        <v>5736342</v>
      </c>
      <c r="D11" s="370">
        <v>10011.9</v>
      </c>
      <c r="E11" s="365">
        <v>176323.3</v>
      </c>
      <c r="F11" s="353">
        <v>804</v>
      </c>
      <c r="G11" s="354">
        <f t="shared" si="0"/>
        <v>7134.753731343284</v>
      </c>
      <c r="H11" s="354">
        <f t="shared" si="1"/>
        <v>219.3075870646766</v>
      </c>
      <c r="I11" s="355">
        <f t="shared" si="2"/>
        <v>2.982128888641811E-2</v>
      </c>
      <c r="K11" s="356">
        <f t="shared" si="3"/>
        <v>6307556</v>
      </c>
      <c r="L11" s="356">
        <f t="shared" si="4"/>
        <v>186335.19999999998</v>
      </c>
    </row>
    <row r="12" spans="1:12" ht="15">
      <c r="A12" s="369" t="s">
        <v>35</v>
      </c>
      <c r="B12" s="364">
        <v>5691281</v>
      </c>
      <c r="C12" s="364">
        <v>15292349</v>
      </c>
      <c r="D12" s="370">
        <v>45913.7</v>
      </c>
      <c r="E12" s="365">
        <v>633845</v>
      </c>
      <c r="F12" s="353">
        <v>1916</v>
      </c>
      <c r="G12" s="354">
        <f t="shared" si="0"/>
        <v>7981.3930062630479</v>
      </c>
      <c r="H12" s="354">
        <f t="shared" si="1"/>
        <v>330.81680584551151</v>
      </c>
      <c r="I12" s="355">
        <f t="shared" si="2"/>
        <v>3.9798899850146244E-2</v>
      </c>
      <c r="K12" s="356">
        <f t="shared" si="3"/>
        <v>20983630</v>
      </c>
      <c r="L12" s="356">
        <f t="shared" si="4"/>
        <v>679758.7</v>
      </c>
    </row>
    <row r="13" spans="1:12" ht="15">
      <c r="A13" s="369" t="s">
        <v>36</v>
      </c>
      <c r="B13" s="364">
        <v>33288411</v>
      </c>
      <c r="C13" s="364">
        <v>32620835</v>
      </c>
      <c r="D13" s="370">
        <v>2490156.1</v>
      </c>
      <c r="E13" s="365">
        <v>1556854.7</v>
      </c>
      <c r="F13" s="353">
        <v>4189</v>
      </c>
      <c r="G13" s="354">
        <f t="shared" si="0"/>
        <v>7787.2606827405107</v>
      </c>
      <c r="H13" s="354">
        <f t="shared" si="1"/>
        <v>371.6530675578897</v>
      </c>
      <c r="I13" s="355">
        <f t="shared" si="2"/>
        <v>4.5551782863778527E-2</v>
      </c>
      <c r="K13" s="356">
        <f t="shared" si="3"/>
        <v>65909246</v>
      </c>
      <c r="L13" s="356">
        <f t="shared" si="4"/>
        <v>4047010.8</v>
      </c>
    </row>
    <row r="14" spans="1:12" ht="15">
      <c r="A14" s="369" t="s">
        <v>37</v>
      </c>
      <c r="B14" s="364">
        <v>5463691</v>
      </c>
      <c r="C14" s="364">
        <v>13263403</v>
      </c>
      <c r="D14" s="370">
        <v>78178.8</v>
      </c>
      <c r="E14" s="365">
        <v>578177.6</v>
      </c>
      <c r="F14" s="353">
        <v>1822</v>
      </c>
      <c r="G14" s="354">
        <f t="shared" si="0"/>
        <v>7279.5845225027442</v>
      </c>
      <c r="H14" s="354">
        <f t="shared" si="1"/>
        <v>317.33128430296375</v>
      </c>
      <c r="I14" s="355">
        <f t="shared" si="2"/>
        <v>4.1771067677054165E-2</v>
      </c>
      <c r="K14" s="356">
        <f t="shared" si="3"/>
        <v>18727094</v>
      </c>
      <c r="L14" s="356">
        <f t="shared" si="4"/>
        <v>656356.4</v>
      </c>
    </row>
    <row r="15" spans="1:12" ht="15">
      <c r="A15" s="369" t="s">
        <v>38</v>
      </c>
      <c r="B15" s="364">
        <v>27985102</v>
      </c>
      <c r="C15" s="364">
        <v>24759367</v>
      </c>
      <c r="D15" s="370">
        <v>449622.2</v>
      </c>
      <c r="E15" s="365">
        <v>1135701.1000000001</v>
      </c>
      <c r="F15" s="353">
        <v>2764</v>
      </c>
      <c r="G15" s="354">
        <f t="shared" si="0"/>
        <v>8957.8028219971056</v>
      </c>
      <c r="H15" s="354">
        <f t="shared" si="1"/>
        <v>410.89041244573087</v>
      </c>
      <c r="I15" s="355">
        <f t="shared" si="2"/>
        <v>4.3857814762804197E-2</v>
      </c>
      <c r="K15" s="356">
        <f t="shared" si="3"/>
        <v>52744469</v>
      </c>
      <c r="L15" s="356">
        <f t="shared" si="4"/>
        <v>1585323.3</v>
      </c>
    </row>
    <row r="16" spans="1:12" ht="15">
      <c r="A16" s="369" t="s">
        <v>39</v>
      </c>
      <c r="B16" s="364">
        <v>180472304</v>
      </c>
      <c r="C16" s="364">
        <v>51991433</v>
      </c>
      <c r="D16" s="370">
        <v>5089939.0999999996</v>
      </c>
      <c r="E16" s="365">
        <v>2786502.6</v>
      </c>
      <c r="F16" s="353">
        <v>7681</v>
      </c>
      <c r="G16" s="354">
        <f t="shared" si="0"/>
        <v>6768.8364796250489</v>
      </c>
      <c r="H16" s="354">
        <f t="shared" si="1"/>
        <v>362.77862257518552</v>
      </c>
      <c r="I16" s="355">
        <f t="shared" si="2"/>
        <v>5.0869069260799232E-2</v>
      </c>
      <c r="K16" s="356">
        <f t="shared" si="3"/>
        <v>232463737</v>
      </c>
      <c r="L16" s="356">
        <f t="shared" si="4"/>
        <v>7876441.6999999993</v>
      </c>
    </row>
    <row r="17" spans="1:12" ht="15">
      <c r="A17" s="369" t="s">
        <v>40</v>
      </c>
      <c r="B17" s="364">
        <v>564795</v>
      </c>
      <c r="C17" s="364">
        <v>2257234</v>
      </c>
      <c r="D17" s="370">
        <v>0</v>
      </c>
      <c r="E17" s="365">
        <v>93247.5</v>
      </c>
      <c r="F17" s="353">
        <v>297</v>
      </c>
      <c r="G17" s="354">
        <f t="shared" si="0"/>
        <v>7600.1144781144785</v>
      </c>
      <c r="H17" s="354">
        <f t="shared" si="1"/>
        <v>313.96464646464648</v>
      </c>
      <c r="I17" s="355">
        <f t="shared" si="2"/>
        <v>3.9671658764385082E-2</v>
      </c>
      <c r="K17" s="356">
        <f t="shared" si="3"/>
        <v>2822029</v>
      </c>
      <c r="L17" s="356">
        <f t="shared" si="4"/>
        <v>93247.5</v>
      </c>
    </row>
    <row r="18" spans="1:12" ht="15">
      <c r="A18" s="369" t="s">
        <v>41</v>
      </c>
      <c r="B18" s="364">
        <v>1220919</v>
      </c>
      <c r="C18" s="364">
        <v>9780009</v>
      </c>
      <c r="D18" s="370">
        <v>17514.5</v>
      </c>
      <c r="E18" s="365">
        <v>532187</v>
      </c>
      <c r="F18" s="353">
        <v>1239</v>
      </c>
      <c r="G18" s="354">
        <f t="shared" si="0"/>
        <v>7893.469733656174</v>
      </c>
      <c r="H18" s="354">
        <f t="shared" si="1"/>
        <v>429.52945924132365</v>
      </c>
      <c r="I18" s="355">
        <f t="shared" si="2"/>
        <v>5.1607533448743602E-2</v>
      </c>
      <c r="K18" s="356">
        <f t="shared" si="3"/>
        <v>11000928</v>
      </c>
      <c r="L18" s="356">
        <f t="shared" si="4"/>
        <v>549701.5</v>
      </c>
    </row>
    <row r="19" spans="1:12" ht="15">
      <c r="A19" s="369" t="s">
        <v>42</v>
      </c>
      <c r="B19" s="364">
        <v>625859</v>
      </c>
      <c r="C19" s="364">
        <v>6574907</v>
      </c>
      <c r="D19" s="370">
        <v>59836.3</v>
      </c>
      <c r="E19" s="365">
        <v>238069.5</v>
      </c>
      <c r="F19" s="353">
        <v>815</v>
      </c>
      <c r="G19" s="354">
        <f t="shared" si="0"/>
        <v>8067.3705521472393</v>
      </c>
      <c r="H19" s="354">
        <f t="shared" si="1"/>
        <v>292.10981595092022</v>
      </c>
      <c r="I19" s="355">
        <f t="shared" si="2"/>
        <v>3.4943537527246715E-2</v>
      </c>
      <c r="K19" s="356">
        <f t="shared" si="3"/>
        <v>7200766</v>
      </c>
      <c r="L19" s="356">
        <f t="shared" si="4"/>
        <v>297905.8</v>
      </c>
    </row>
    <row r="20" spans="1:12" ht="15">
      <c r="A20" s="369" t="s">
        <v>43</v>
      </c>
      <c r="B20" s="364">
        <v>93878070</v>
      </c>
      <c r="C20" s="364">
        <v>26295198</v>
      </c>
      <c r="D20" s="370">
        <v>1147574</v>
      </c>
      <c r="E20" s="365">
        <v>1053153.1000000001</v>
      </c>
      <c r="F20" s="353">
        <v>3409</v>
      </c>
      <c r="G20" s="354">
        <f t="shared" si="0"/>
        <v>7713.4637723672631</v>
      </c>
      <c r="H20" s="354">
        <f t="shared" si="1"/>
        <v>308.9331475506014</v>
      </c>
      <c r="I20" s="355">
        <f t="shared" si="2"/>
        <v>3.8508833536220033E-2</v>
      </c>
      <c r="K20" s="356">
        <f t="shared" si="3"/>
        <v>120173268</v>
      </c>
      <c r="L20" s="356">
        <f t="shared" si="4"/>
        <v>2200727.1</v>
      </c>
    </row>
    <row r="21" spans="1:12" ht="15.75" thickBot="1">
      <c r="A21" s="369" t="s">
        <v>44</v>
      </c>
      <c r="B21" s="364">
        <v>26698841</v>
      </c>
      <c r="C21" s="364">
        <v>16415985</v>
      </c>
      <c r="D21" s="370">
        <v>1109009.8</v>
      </c>
      <c r="E21" s="365">
        <v>1209803.2</v>
      </c>
      <c r="F21" s="353">
        <v>2988</v>
      </c>
      <c r="G21" s="354">
        <f t="shared" si="0"/>
        <v>5493.9708835341362</v>
      </c>
      <c r="H21" s="354">
        <f t="shared" si="1"/>
        <v>404.88728246318607</v>
      </c>
      <c r="I21" s="355">
        <f t="shared" si="2"/>
        <v>6.8638246770717462E-2</v>
      </c>
      <c r="K21" s="356">
        <f t="shared" si="3"/>
        <v>43114826</v>
      </c>
      <c r="L21" s="356">
        <f t="shared" si="4"/>
        <v>2318813</v>
      </c>
    </row>
    <row r="22" spans="1:12">
      <c r="B22" s="358"/>
      <c r="C22" s="358"/>
      <c r="D22" s="359">
        <f>SUM(D3:D21)/1000</f>
        <v>25819.751600000003</v>
      </c>
      <c r="E22" s="359">
        <f>SUM(E3:E21)/1000</f>
        <v>22674.749900000003</v>
      </c>
      <c r="F22" s="356"/>
    </row>
    <row r="23" spans="1:12">
      <c r="B23" s="361"/>
      <c r="C23" s="361"/>
      <c r="G23" s="356"/>
    </row>
    <row r="24" spans="1:12">
      <c r="B24" s="361"/>
      <c r="C24" s="361"/>
    </row>
    <row r="26" spans="1:12">
      <c r="A26" s="371" t="s">
        <v>441</v>
      </c>
      <c r="B26" s="328">
        <f>SUBTOTAL(9,B3:B21)</f>
        <v>816027466</v>
      </c>
      <c r="C26" s="328">
        <f>SUBTOTAL(9,C3:C21)</f>
        <v>432321263</v>
      </c>
      <c r="D26" s="328">
        <f>SUBTOTAL(9,D3:D21)</f>
        <v>25819751.600000001</v>
      </c>
      <c r="E26" s="328">
        <f>SUBTOTAL(9,E3:E21)</f>
        <v>22674749.900000002</v>
      </c>
    </row>
  </sheetData>
  <autoFilter ref="A2:I22"/>
  <pageMargins left="0.75" right="0.75" top="1" bottom="1" header="0.5" footer="0.5"/>
  <pageSetup orientation="portrait" horizontalDpi="4294967294"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pane xSplit="1" ySplit="2" topLeftCell="B3" activePane="bottomRight" state="frozen"/>
      <selection activeCell="V33" sqref="V33:V50"/>
      <selection pane="topRight" activeCell="V33" sqref="V33:V50"/>
      <selection pane="bottomLeft" activeCell="V33" sqref="V33:V50"/>
      <selection pane="bottomRight" activeCell="M6" sqref="M6:N7"/>
    </sheetView>
  </sheetViews>
  <sheetFormatPr defaultRowHeight="12.75"/>
  <cols>
    <col min="1" max="1" width="22.7109375" style="328" bestFit="1" customWidth="1"/>
    <col min="2" max="3" width="13.42578125" style="328" bestFit="1" customWidth="1"/>
    <col min="4" max="4" width="12.85546875" style="328" customWidth="1"/>
    <col min="5" max="5" width="10.7109375" style="328" customWidth="1"/>
    <col min="6" max="6" width="12.5703125" style="328" customWidth="1"/>
    <col min="7" max="7" width="11.28515625" style="328" customWidth="1"/>
    <col min="8" max="8" width="11.5703125" style="328" customWidth="1"/>
    <col min="9" max="9" width="9.7109375" style="328" customWidth="1"/>
    <col min="10" max="10" width="10.7109375" style="328" customWidth="1"/>
    <col min="11" max="12" width="9.140625" style="328"/>
    <col min="13" max="13" width="9.7109375" style="328" bestFit="1" customWidth="1"/>
    <col min="14" max="16384" width="9.140625" style="328"/>
  </cols>
  <sheetData>
    <row r="1" spans="1:14" ht="13.5" thickBot="1">
      <c r="A1" s="372"/>
      <c r="B1" s="335" t="s">
        <v>315</v>
      </c>
      <c r="C1" s="336"/>
      <c r="D1" s="335" t="s">
        <v>314</v>
      </c>
      <c r="E1" s="337"/>
      <c r="F1" s="373" t="s">
        <v>313</v>
      </c>
      <c r="G1" s="374"/>
      <c r="H1" s="374"/>
      <c r="I1" s="375"/>
      <c r="J1" s="335" t="s">
        <v>452</v>
      </c>
      <c r="K1" s="337"/>
    </row>
    <row r="2" spans="1:14" ht="77.25" thickBot="1">
      <c r="A2" s="376" t="s">
        <v>248</v>
      </c>
      <c r="B2" s="342" t="s">
        <v>436</v>
      </c>
      <c r="C2" s="343" t="s">
        <v>24</v>
      </c>
      <c r="D2" s="344" t="s">
        <v>25</v>
      </c>
      <c r="E2" s="345" t="s">
        <v>437</v>
      </c>
      <c r="F2" s="346" t="s">
        <v>453</v>
      </c>
      <c r="G2" s="347" t="s">
        <v>309</v>
      </c>
      <c r="H2" s="347" t="s">
        <v>308</v>
      </c>
      <c r="I2" s="348" t="s">
        <v>307</v>
      </c>
      <c r="J2" s="377" t="s">
        <v>454</v>
      </c>
      <c r="K2" s="378" t="s">
        <v>455</v>
      </c>
      <c r="M2" s="349" t="s">
        <v>439</v>
      </c>
      <c r="N2" s="349" t="s">
        <v>440</v>
      </c>
    </row>
    <row r="3" spans="1:14">
      <c r="A3" s="379" t="s">
        <v>26</v>
      </c>
      <c r="B3" s="380">
        <v>2767796</v>
      </c>
      <c r="C3" s="381">
        <v>4067392</v>
      </c>
      <c r="D3" s="380">
        <v>85036.7</v>
      </c>
      <c r="E3" s="381">
        <v>16306.4</v>
      </c>
      <c r="F3" s="382">
        <v>571</v>
      </c>
      <c r="G3" s="383">
        <f t="shared" ref="G3:G21" si="0">C3/F3</f>
        <v>7123.2784588441327</v>
      </c>
      <c r="H3" s="383">
        <f t="shared" ref="H3:H21" si="1">E3/F3</f>
        <v>28.557618213660245</v>
      </c>
      <c r="I3" s="384">
        <f t="shared" ref="I3:I21" si="2">H3/G3</f>
        <v>4.0090554340471733E-3</v>
      </c>
      <c r="J3" s="385">
        <v>504.9</v>
      </c>
      <c r="K3" s="386">
        <v>48.889000000000003</v>
      </c>
      <c r="M3" s="356">
        <f>B3+C3</f>
        <v>6835188</v>
      </c>
      <c r="N3" s="356">
        <f>D3+E3</f>
        <v>101343.09999999999</v>
      </c>
    </row>
    <row r="4" spans="1:14">
      <c r="A4" s="379" t="s">
        <v>27</v>
      </c>
      <c r="B4" s="380">
        <v>0</v>
      </c>
      <c r="C4" s="381">
        <v>14937</v>
      </c>
      <c r="D4" s="380">
        <v>0</v>
      </c>
      <c r="E4" s="381">
        <v>401.1</v>
      </c>
      <c r="F4" s="382">
        <v>5</v>
      </c>
      <c r="G4" s="383">
        <f t="shared" si="0"/>
        <v>2987.4</v>
      </c>
      <c r="H4" s="383">
        <f t="shared" si="1"/>
        <v>80.22</v>
      </c>
      <c r="I4" s="384">
        <f t="shared" si="2"/>
        <v>2.6852781683068889E-2</v>
      </c>
      <c r="J4" s="385">
        <v>0</v>
      </c>
      <c r="K4" s="386">
        <v>0.34499999999999997</v>
      </c>
      <c r="M4" s="356">
        <f t="shared" ref="M4:M21" si="3">B4+C4</f>
        <v>14937</v>
      </c>
      <c r="N4" s="356">
        <f t="shared" ref="N4:N21" si="4">D4+E4</f>
        <v>401.1</v>
      </c>
    </row>
    <row r="5" spans="1:14">
      <c r="A5" s="387" t="s">
        <v>28</v>
      </c>
      <c r="B5" s="388">
        <v>261050319</v>
      </c>
      <c r="C5" s="389">
        <v>85581711</v>
      </c>
      <c r="D5" s="388">
        <v>3683000</v>
      </c>
      <c r="E5" s="389">
        <v>1698000</v>
      </c>
      <c r="F5" s="390">
        <v>16101</v>
      </c>
      <c r="G5" s="391">
        <f t="shared" si="0"/>
        <v>5315.3040804918946</v>
      </c>
      <c r="H5" s="391">
        <f t="shared" si="1"/>
        <v>105.45928824296628</v>
      </c>
      <c r="I5" s="392">
        <f t="shared" si="2"/>
        <v>1.9840687690854886E-2</v>
      </c>
      <c r="J5" s="393">
        <v>136.20099999999999</v>
      </c>
      <c r="K5" s="394">
        <v>57</v>
      </c>
      <c r="M5" s="356">
        <f t="shared" si="3"/>
        <v>346632030</v>
      </c>
      <c r="N5" s="356">
        <f t="shared" si="4"/>
        <v>5381000</v>
      </c>
    </row>
    <row r="6" spans="1:14">
      <c r="A6" s="379" t="s">
        <v>29</v>
      </c>
      <c r="B6" s="380">
        <v>3012041</v>
      </c>
      <c r="C6" s="381">
        <v>15324571</v>
      </c>
      <c r="D6" s="380">
        <v>20891.5</v>
      </c>
      <c r="E6" s="381">
        <v>369036.9</v>
      </c>
      <c r="F6" s="382">
        <v>1732</v>
      </c>
      <c r="G6" s="383">
        <f t="shared" si="0"/>
        <v>8847.9047344110859</v>
      </c>
      <c r="H6" s="383">
        <f t="shared" si="1"/>
        <v>213.06980369515014</v>
      </c>
      <c r="I6" s="384">
        <f t="shared" si="2"/>
        <v>2.4081385377770121E-2</v>
      </c>
      <c r="J6" s="385">
        <v>-20.412500000000001</v>
      </c>
      <c r="K6" s="386">
        <v>184.00899999999999</v>
      </c>
      <c r="M6" s="356">
        <f t="shared" si="3"/>
        <v>18336612</v>
      </c>
      <c r="N6" s="356">
        <f t="shared" si="4"/>
        <v>389928.4</v>
      </c>
    </row>
    <row r="7" spans="1:14">
      <c r="A7" s="350" t="s">
        <v>30</v>
      </c>
      <c r="B7" s="380">
        <v>80126375</v>
      </c>
      <c r="C7" s="381">
        <v>48696069</v>
      </c>
      <c r="D7" s="380">
        <v>1212452</v>
      </c>
      <c r="E7" s="381">
        <v>2911174</v>
      </c>
      <c r="F7" s="382">
        <v>7051</v>
      </c>
      <c r="G7" s="383">
        <v>6906</v>
      </c>
      <c r="H7" s="383">
        <v>413</v>
      </c>
      <c r="I7" s="384">
        <v>0.06</v>
      </c>
      <c r="J7" s="385">
        <v>5428</v>
      </c>
      <c r="K7" s="386">
        <v>808</v>
      </c>
      <c r="M7" s="356">
        <f t="shared" ref="M7" si="5">B7+C7</f>
        <v>128822444</v>
      </c>
      <c r="N7" s="356">
        <f t="shared" ref="N7" si="6">D7+E7</f>
        <v>4123626</v>
      </c>
    </row>
    <row r="8" spans="1:14">
      <c r="A8" s="379" t="s">
        <v>31</v>
      </c>
      <c r="B8" s="380">
        <v>37461060</v>
      </c>
      <c r="C8" s="381">
        <v>24561712</v>
      </c>
      <c r="D8" s="380">
        <v>1581553.4</v>
      </c>
      <c r="E8" s="381">
        <v>565411</v>
      </c>
      <c r="F8" s="382">
        <v>3231</v>
      </c>
      <c r="G8" s="383">
        <f t="shared" si="0"/>
        <v>7601.891674404209</v>
      </c>
      <c r="H8" s="383">
        <f t="shared" si="1"/>
        <v>174.99566697616837</v>
      </c>
      <c r="I8" s="384">
        <f t="shared" si="2"/>
        <v>2.3020015868600689E-2</v>
      </c>
      <c r="J8" s="385">
        <v>170.67019999999999</v>
      </c>
      <c r="K8" s="386">
        <v>-37.433999999999997</v>
      </c>
      <c r="M8" s="356">
        <f t="shared" si="3"/>
        <v>62022772</v>
      </c>
      <c r="N8" s="356">
        <f t="shared" si="4"/>
        <v>2146964.4</v>
      </c>
    </row>
    <row r="9" spans="1:14">
      <c r="A9" s="379" t="s">
        <v>32</v>
      </c>
      <c r="B9" s="380">
        <v>28075265</v>
      </c>
      <c r="C9" s="381">
        <v>31415140</v>
      </c>
      <c r="D9" s="380">
        <v>4772578.2</v>
      </c>
      <c r="E9" s="381">
        <v>1059810.8</v>
      </c>
      <c r="F9" s="382">
        <v>4638</v>
      </c>
      <c r="G9" s="383">
        <f t="shared" si="0"/>
        <v>6773.4238896075894</v>
      </c>
      <c r="H9" s="383">
        <f t="shared" si="1"/>
        <v>228.50599396291506</v>
      </c>
      <c r="I9" s="384">
        <f t="shared" si="2"/>
        <v>3.3735670125932912E-2</v>
      </c>
      <c r="J9" s="385">
        <v>1085.9142999999999</v>
      </c>
      <c r="K9" s="386">
        <v>-173.06700000000001</v>
      </c>
      <c r="M9" s="356">
        <f t="shared" si="3"/>
        <v>59490405</v>
      </c>
      <c r="N9" s="356">
        <f t="shared" si="4"/>
        <v>5832389</v>
      </c>
    </row>
    <row r="10" spans="1:14">
      <c r="A10" s="379" t="s">
        <v>33</v>
      </c>
      <c r="B10" s="380">
        <v>7256471</v>
      </c>
      <c r="C10" s="381">
        <v>13698115</v>
      </c>
      <c r="D10" s="380">
        <v>258416.9</v>
      </c>
      <c r="E10" s="381">
        <v>197754.4</v>
      </c>
      <c r="F10" s="382">
        <v>1872</v>
      </c>
      <c r="G10" s="383">
        <f t="shared" si="0"/>
        <v>7317.369123931624</v>
      </c>
      <c r="H10" s="383">
        <f t="shared" si="1"/>
        <v>105.63803418803418</v>
      </c>
      <c r="I10" s="384">
        <f t="shared" si="2"/>
        <v>1.4436614088872811E-2</v>
      </c>
      <c r="J10" s="385">
        <v>1557.2940000000001</v>
      </c>
      <c r="K10" s="386">
        <v>399.62599999999998</v>
      </c>
      <c r="M10" s="356">
        <f t="shared" si="3"/>
        <v>20954586</v>
      </c>
      <c r="N10" s="356">
        <f t="shared" si="4"/>
        <v>456171.3</v>
      </c>
    </row>
    <row r="11" spans="1:14">
      <c r="A11" s="379" t="s">
        <v>34</v>
      </c>
      <c r="B11" s="380">
        <v>594277</v>
      </c>
      <c r="C11" s="381">
        <v>5721920</v>
      </c>
      <c r="D11" s="380">
        <v>-456</v>
      </c>
      <c r="E11" s="381">
        <v>76658.100000000006</v>
      </c>
      <c r="F11" s="382">
        <v>810</v>
      </c>
      <c r="G11" s="383">
        <f t="shared" si="0"/>
        <v>7064.0987654320988</v>
      </c>
      <c r="H11" s="383">
        <f t="shared" si="1"/>
        <v>94.639629629629638</v>
      </c>
      <c r="I11" s="384">
        <f t="shared" si="2"/>
        <v>1.3397268748951401E-2</v>
      </c>
      <c r="J11" s="385">
        <v>55.144399999999997</v>
      </c>
      <c r="K11" s="386">
        <v>100.861</v>
      </c>
      <c r="M11" s="356">
        <f t="shared" si="3"/>
        <v>6316197</v>
      </c>
      <c r="N11" s="356">
        <f t="shared" si="4"/>
        <v>76202.100000000006</v>
      </c>
    </row>
    <row r="12" spans="1:14">
      <c r="A12" s="379" t="s">
        <v>35</v>
      </c>
      <c r="B12" s="380">
        <v>5702759</v>
      </c>
      <c r="C12" s="381">
        <v>15249432</v>
      </c>
      <c r="D12" s="380">
        <v>17758.599999999999</v>
      </c>
      <c r="E12" s="381">
        <v>327000.2</v>
      </c>
      <c r="F12" s="382">
        <v>1916</v>
      </c>
      <c r="G12" s="383">
        <f t="shared" si="0"/>
        <v>7958.993736951983</v>
      </c>
      <c r="H12" s="383">
        <f t="shared" si="1"/>
        <v>170.66816283924845</v>
      </c>
      <c r="I12" s="384">
        <f t="shared" si="2"/>
        <v>2.144343474563512E-2</v>
      </c>
      <c r="J12" s="385">
        <v>-81.161199999999994</v>
      </c>
      <c r="K12" s="386">
        <v>217.59299999999999</v>
      </c>
      <c r="M12" s="356">
        <f t="shared" si="3"/>
        <v>20952191</v>
      </c>
      <c r="N12" s="356">
        <f t="shared" si="4"/>
        <v>344758.8</v>
      </c>
    </row>
    <row r="13" spans="1:14">
      <c r="A13" s="379" t="s">
        <v>36</v>
      </c>
      <c r="B13" s="380">
        <v>32025718</v>
      </c>
      <c r="C13" s="381">
        <v>32653197</v>
      </c>
      <c r="D13" s="380">
        <v>846203</v>
      </c>
      <c r="E13" s="381">
        <v>801409.2</v>
      </c>
      <c r="F13" s="382">
        <v>4211</v>
      </c>
      <c r="G13" s="383">
        <f t="shared" si="0"/>
        <v>7754.2619330325342</v>
      </c>
      <c r="H13" s="383">
        <f t="shared" si="1"/>
        <v>190.31327475658986</v>
      </c>
      <c r="I13" s="384">
        <f t="shared" si="2"/>
        <v>2.4543054696910684E-2</v>
      </c>
      <c r="J13" s="385">
        <v>-23.915600000000001</v>
      </c>
      <c r="K13" s="386">
        <v>389.72179999999997</v>
      </c>
      <c r="M13" s="356">
        <f t="shared" si="3"/>
        <v>64678915</v>
      </c>
      <c r="N13" s="356">
        <f t="shared" si="4"/>
        <v>1647612.2</v>
      </c>
    </row>
    <row r="14" spans="1:14">
      <c r="A14" s="379" t="s">
        <v>37</v>
      </c>
      <c r="B14" s="380">
        <v>5385400</v>
      </c>
      <c r="C14" s="381">
        <v>13169921</v>
      </c>
      <c r="D14" s="380">
        <v>35253.599999999999</v>
      </c>
      <c r="E14" s="381">
        <v>322023.09999999998</v>
      </c>
      <c r="F14" s="382">
        <v>1708</v>
      </c>
      <c r="G14" s="383">
        <f t="shared" si="0"/>
        <v>7710.7265807962531</v>
      </c>
      <c r="H14" s="383">
        <f t="shared" si="1"/>
        <v>188.53811475409836</v>
      </c>
      <c r="I14" s="384">
        <f t="shared" si="2"/>
        <v>2.4451407111705528E-2</v>
      </c>
      <c r="J14" s="385">
        <v>65.016500000000008</v>
      </c>
      <c r="K14" s="386">
        <v>403.08199999999999</v>
      </c>
      <c r="M14" s="356">
        <f t="shared" si="3"/>
        <v>18555321</v>
      </c>
      <c r="N14" s="356">
        <f t="shared" si="4"/>
        <v>357276.69999999995</v>
      </c>
    </row>
    <row r="15" spans="1:14">
      <c r="A15" s="379" t="s">
        <v>38</v>
      </c>
      <c r="B15" s="380">
        <v>25780694</v>
      </c>
      <c r="C15" s="381">
        <v>24409693</v>
      </c>
      <c r="D15" s="380">
        <v>672179.9</v>
      </c>
      <c r="E15" s="381">
        <v>615620.9</v>
      </c>
      <c r="F15" s="382">
        <v>2787</v>
      </c>
      <c r="G15" s="383">
        <f t="shared" si="0"/>
        <v>8758.4115536419085</v>
      </c>
      <c r="H15" s="383">
        <f t="shared" si="1"/>
        <v>220.89016864011484</v>
      </c>
      <c r="I15" s="384">
        <f t="shared" si="2"/>
        <v>2.5220345868340092E-2</v>
      </c>
      <c r="J15" s="385">
        <v>-454.1207</v>
      </c>
      <c r="K15" s="386">
        <v>636.89</v>
      </c>
      <c r="M15" s="356">
        <f t="shared" si="3"/>
        <v>50190387</v>
      </c>
      <c r="N15" s="356">
        <f t="shared" si="4"/>
        <v>1287800.8</v>
      </c>
    </row>
    <row r="16" spans="1:14">
      <c r="A16" s="379" t="s">
        <v>39</v>
      </c>
      <c r="B16" s="380">
        <v>174124180</v>
      </c>
      <c r="C16" s="381">
        <v>51222208</v>
      </c>
      <c r="D16" s="380">
        <v>2695286.8</v>
      </c>
      <c r="E16" s="381">
        <v>2355945.6</v>
      </c>
      <c r="F16" s="382">
        <v>7807</v>
      </c>
      <c r="G16" s="383">
        <f t="shared" si="0"/>
        <v>6561.0616113744072</v>
      </c>
      <c r="H16" s="383">
        <f t="shared" si="1"/>
        <v>301.7734853336749</v>
      </c>
      <c r="I16" s="384">
        <f t="shared" si="2"/>
        <v>4.5994612336898874E-2</v>
      </c>
      <c r="J16" s="385">
        <v>2915.8919999999998</v>
      </c>
      <c r="K16" s="386">
        <v>648.83100000000002</v>
      </c>
      <c r="M16" s="356">
        <f t="shared" si="3"/>
        <v>225346388</v>
      </c>
      <c r="N16" s="356">
        <f t="shared" si="4"/>
        <v>5051232.4000000004</v>
      </c>
    </row>
    <row r="17" spans="1:14">
      <c r="A17" s="379" t="s">
        <v>40</v>
      </c>
      <c r="B17" s="380">
        <v>466903</v>
      </c>
      <c r="C17" s="381">
        <v>2196267</v>
      </c>
      <c r="D17" s="380">
        <v>0</v>
      </c>
      <c r="E17" s="381">
        <v>108424.8</v>
      </c>
      <c r="F17" s="382">
        <v>293</v>
      </c>
      <c r="G17" s="383">
        <f t="shared" si="0"/>
        <v>7495.7918088737206</v>
      </c>
      <c r="H17" s="383">
        <f t="shared" si="1"/>
        <v>370.05051194539249</v>
      </c>
      <c r="I17" s="384">
        <f t="shared" si="2"/>
        <v>4.9367768126552913E-2</v>
      </c>
      <c r="J17" s="385">
        <v>0</v>
      </c>
      <c r="K17" s="386">
        <v>39.419999999999995</v>
      </c>
      <c r="M17" s="356">
        <f t="shared" si="3"/>
        <v>2663170</v>
      </c>
      <c r="N17" s="356">
        <f t="shared" si="4"/>
        <v>108424.8</v>
      </c>
    </row>
    <row r="18" spans="1:14">
      <c r="A18" s="379" t="s">
        <v>41</v>
      </c>
      <c r="B18" s="380">
        <v>1234136</v>
      </c>
      <c r="C18" s="381">
        <v>9727605</v>
      </c>
      <c r="D18" s="380">
        <v>1568.3</v>
      </c>
      <c r="E18" s="381">
        <v>274383.09999999998</v>
      </c>
      <c r="F18" s="382">
        <v>1246</v>
      </c>
      <c r="G18" s="383">
        <f t="shared" si="0"/>
        <v>7807.0666131621192</v>
      </c>
      <c r="H18" s="383">
        <f t="shared" si="1"/>
        <v>220.21115569823434</v>
      </c>
      <c r="I18" s="384">
        <f t="shared" si="2"/>
        <v>2.8206644903858654E-2</v>
      </c>
      <c r="J18" s="385">
        <v>165.6</v>
      </c>
      <c r="K18" s="386">
        <v>160.66200000000001</v>
      </c>
      <c r="M18" s="356">
        <f t="shared" si="3"/>
        <v>10961741</v>
      </c>
      <c r="N18" s="356">
        <f t="shared" si="4"/>
        <v>275951.39999999997</v>
      </c>
    </row>
    <row r="19" spans="1:14">
      <c r="A19" s="379" t="s">
        <v>42</v>
      </c>
      <c r="B19" s="380">
        <v>609653</v>
      </c>
      <c r="C19" s="381">
        <v>6710615</v>
      </c>
      <c r="D19" s="380">
        <v>9539.7000000000007</v>
      </c>
      <c r="E19" s="381">
        <v>99297.4</v>
      </c>
      <c r="F19" s="382">
        <v>823</v>
      </c>
      <c r="G19" s="383">
        <f t="shared" si="0"/>
        <v>8153.8456865127582</v>
      </c>
      <c r="H19" s="383">
        <f t="shared" si="1"/>
        <v>120.65297691373024</v>
      </c>
      <c r="I19" s="384">
        <f t="shared" si="2"/>
        <v>1.4797064054486808E-2</v>
      </c>
      <c r="J19" s="385">
        <v>-8.4456000000000007</v>
      </c>
      <c r="K19" s="386">
        <v>190.10599999999999</v>
      </c>
      <c r="M19" s="356">
        <f t="shared" si="3"/>
        <v>7320268</v>
      </c>
      <c r="N19" s="356">
        <f t="shared" si="4"/>
        <v>108837.09999999999</v>
      </c>
    </row>
    <row r="20" spans="1:14">
      <c r="A20" s="379" t="s">
        <v>43</v>
      </c>
      <c r="B20" s="380">
        <v>84945422</v>
      </c>
      <c r="C20" s="381">
        <v>25722336</v>
      </c>
      <c r="D20" s="380">
        <v>1558980</v>
      </c>
      <c r="E20" s="381">
        <v>736016.1</v>
      </c>
      <c r="F20" s="382">
        <v>3479</v>
      </c>
      <c r="G20" s="383">
        <f t="shared" si="0"/>
        <v>7393.6004599022708</v>
      </c>
      <c r="H20" s="383">
        <f t="shared" si="1"/>
        <v>211.55967231963209</v>
      </c>
      <c r="I20" s="384">
        <f t="shared" si="2"/>
        <v>2.8613890278083608E-2</v>
      </c>
      <c r="J20" s="385">
        <v>-214.1499</v>
      </c>
      <c r="K20" s="386">
        <v>596.37300000000005</v>
      </c>
      <c r="M20" s="356">
        <f t="shared" si="3"/>
        <v>110667758</v>
      </c>
      <c r="N20" s="356">
        <f t="shared" si="4"/>
        <v>2294996.1</v>
      </c>
    </row>
    <row r="21" spans="1:14" ht="13.5" thickBot="1">
      <c r="A21" s="379" t="s">
        <v>44</v>
      </c>
      <c r="B21" s="380">
        <v>25817970</v>
      </c>
      <c r="C21" s="381">
        <v>16339856</v>
      </c>
      <c r="D21" s="380">
        <v>757104.6</v>
      </c>
      <c r="E21" s="381">
        <v>462320.8</v>
      </c>
      <c r="F21" s="382">
        <v>2994</v>
      </c>
      <c r="G21" s="383">
        <f t="shared" si="0"/>
        <v>5457.5337341349368</v>
      </c>
      <c r="H21" s="383">
        <f t="shared" si="1"/>
        <v>154.41576486305945</v>
      </c>
      <c r="I21" s="384">
        <f t="shared" si="2"/>
        <v>2.8294055957408682E-2</v>
      </c>
      <c r="J21" s="385">
        <v>274.20310000000001</v>
      </c>
      <c r="K21" s="386">
        <v>10.282999999999999</v>
      </c>
      <c r="M21" s="356">
        <f t="shared" si="3"/>
        <v>42157826</v>
      </c>
      <c r="N21" s="356">
        <f t="shared" si="4"/>
        <v>1219425.3999999999</v>
      </c>
    </row>
    <row r="22" spans="1:14">
      <c r="B22" s="358"/>
      <c r="C22" s="358"/>
      <c r="D22" s="359">
        <f>SUM(D3:D21)/1000</f>
        <v>18207.347200000004</v>
      </c>
      <c r="E22" s="359">
        <f>SUM(E3:E21)/1000</f>
        <v>12996.993899999999</v>
      </c>
    </row>
    <row r="23" spans="1:14">
      <c r="B23" s="361"/>
      <c r="C23" s="361"/>
    </row>
    <row r="24" spans="1:14">
      <c r="B24" s="361"/>
      <c r="C24" s="361"/>
    </row>
    <row r="25" spans="1:14">
      <c r="A25" s="395" t="s">
        <v>441</v>
      </c>
      <c r="B25" s="356">
        <f>SUBTOTAL(9,B3:B21)</f>
        <v>776436439</v>
      </c>
      <c r="C25" s="356">
        <f>SUBTOTAL(9,C3:C21)</f>
        <v>426482697</v>
      </c>
      <c r="D25" s="356">
        <f>SUBTOTAL(9,D3:D21)</f>
        <v>18207347.200000003</v>
      </c>
      <c r="E25" s="356">
        <f>SUBTOTAL(9,E3:E21)</f>
        <v>12996993.9</v>
      </c>
    </row>
  </sheetData>
  <autoFilter ref="A2:K22"/>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showGridLines="0" topLeftCell="A10" workbookViewId="0">
      <selection activeCell="H51" sqref="H51"/>
    </sheetView>
  </sheetViews>
  <sheetFormatPr defaultRowHeight="15"/>
  <cols>
    <col min="2" max="2" width="36.42578125" customWidth="1"/>
    <col min="3" max="3" width="16.42578125" customWidth="1"/>
    <col min="4" max="4" width="10" bestFit="1" customWidth="1"/>
    <col min="6" max="6" width="30.7109375" customWidth="1"/>
    <col min="7" max="7" width="19.42578125" bestFit="1" customWidth="1"/>
    <col min="8" max="8" width="4.5703125" bestFit="1" customWidth="1"/>
    <col min="9" max="9" width="14.7109375" customWidth="1"/>
    <col min="10" max="10" width="9.5703125" bestFit="1" customWidth="1"/>
  </cols>
  <sheetData>
    <row r="1" spans="1:10">
      <c r="A1" s="166" t="s">
        <v>240</v>
      </c>
      <c r="B1" s="166" t="s">
        <v>272</v>
      </c>
      <c r="C1" s="166"/>
      <c r="D1" s="166"/>
      <c r="E1" s="166"/>
      <c r="F1" s="166"/>
      <c r="G1" s="166"/>
      <c r="H1" s="166"/>
      <c r="I1" s="166"/>
    </row>
    <row r="2" spans="1:10">
      <c r="A2" s="166" t="s">
        <v>238</v>
      </c>
      <c r="B2" s="166" t="s">
        <v>271</v>
      </c>
      <c r="C2" s="166"/>
      <c r="D2" s="166"/>
      <c r="E2" s="166"/>
      <c r="F2" s="166"/>
      <c r="G2" s="166"/>
      <c r="H2" s="166"/>
      <c r="I2" s="166"/>
    </row>
    <row r="3" spans="1:10" ht="165">
      <c r="A3" s="166"/>
      <c r="B3" s="235" t="s">
        <v>249</v>
      </c>
      <c r="C3" s="235" t="s">
        <v>270</v>
      </c>
      <c r="D3" s="235" t="s">
        <v>269</v>
      </c>
      <c r="E3" s="235" t="s">
        <v>268</v>
      </c>
      <c r="F3" s="443" t="s">
        <v>267</v>
      </c>
      <c r="G3" s="444"/>
      <c r="H3" s="444"/>
      <c r="I3" s="445"/>
    </row>
    <row r="4" spans="1:10" ht="15" customHeight="1">
      <c r="A4" s="166"/>
      <c r="B4" s="242" t="s">
        <v>266</v>
      </c>
      <c r="C4" s="242">
        <v>12.1</v>
      </c>
      <c r="D4" s="238">
        <v>1.2418412656419817</v>
      </c>
      <c r="E4" s="105">
        <v>0.10263150955718857</v>
      </c>
      <c r="F4" s="446" t="s">
        <v>265</v>
      </c>
      <c r="G4" s="446"/>
      <c r="H4" s="446"/>
      <c r="I4" s="446"/>
    </row>
    <row r="5" spans="1:10">
      <c r="A5" s="166"/>
      <c r="B5" s="242" t="s">
        <v>264</v>
      </c>
      <c r="C5" s="242">
        <v>3.2</v>
      </c>
      <c r="D5" s="238">
        <v>2.4960000000000004</v>
      </c>
      <c r="E5" s="105">
        <v>0.78000000000000014</v>
      </c>
      <c r="F5" s="446"/>
      <c r="G5" s="446"/>
      <c r="H5" s="446"/>
      <c r="I5" s="446"/>
    </row>
    <row r="6" spans="1:10" ht="15" customHeight="1">
      <c r="A6" s="166"/>
      <c r="B6" s="242" t="s">
        <v>263</v>
      </c>
      <c r="C6" s="242">
        <v>3.9</v>
      </c>
      <c r="D6" s="238">
        <v>8.7889264774379167E-2</v>
      </c>
      <c r="E6" s="105">
        <v>2.2535708916507479E-2</v>
      </c>
      <c r="F6" s="446"/>
      <c r="G6" s="446"/>
      <c r="H6" s="446"/>
      <c r="I6" s="446"/>
    </row>
    <row r="7" spans="1:10">
      <c r="A7" s="166"/>
      <c r="B7" s="242" t="s">
        <v>262</v>
      </c>
      <c r="C7" s="242">
        <v>5.6</v>
      </c>
      <c r="D7" s="238">
        <v>0.1456153499220483</v>
      </c>
      <c r="E7" s="105">
        <v>2.6002741057508626E-2</v>
      </c>
      <c r="F7" s="446"/>
      <c r="G7" s="446"/>
      <c r="H7" s="446"/>
      <c r="I7" s="446"/>
    </row>
    <row r="8" spans="1:10" ht="15.75" thickBot="1">
      <c r="A8" s="166"/>
      <c r="B8" s="427" t="s">
        <v>261</v>
      </c>
      <c r="C8" s="428">
        <v>0.9</v>
      </c>
      <c r="D8" s="429">
        <v>0.22732028792067882</v>
      </c>
      <c r="E8" s="275">
        <v>0.25257809768964312</v>
      </c>
      <c r="F8" s="446"/>
      <c r="G8" s="446"/>
      <c r="H8" s="446"/>
      <c r="I8" s="446"/>
    </row>
    <row r="9" spans="1:10" ht="15.75" thickTop="1">
      <c r="A9" s="166"/>
      <c r="B9" s="240" t="s">
        <v>260</v>
      </c>
      <c r="C9" s="239">
        <v>25.699999999999996</v>
      </c>
      <c r="D9" s="238">
        <v>4.1986661682590887</v>
      </c>
      <c r="E9" s="105">
        <v>0.16337222444587896</v>
      </c>
      <c r="F9" s="446"/>
      <c r="G9" s="446"/>
      <c r="H9" s="446"/>
      <c r="I9" s="446"/>
    </row>
    <row r="13" spans="1:10" ht="76.5" customHeight="1">
      <c r="B13" s="447" t="s">
        <v>502</v>
      </c>
      <c r="C13" s="447"/>
      <c r="D13" s="447"/>
      <c r="E13" s="430"/>
      <c r="F13" s="448" t="s">
        <v>503</v>
      </c>
      <c r="G13" s="448"/>
      <c r="H13" s="119"/>
      <c r="I13" s="119"/>
    </row>
    <row r="14" spans="1:10" ht="60">
      <c r="B14" s="319" t="s">
        <v>504</v>
      </c>
      <c r="C14" s="319" t="s">
        <v>441</v>
      </c>
      <c r="D14" s="319" t="s">
        <v>334</v>
      </c>
      <c r="E14" s="430"/>
      <c r="F14" s="92"/>
      <c r="G14" s="431" t="s">
        <v>505</v>
      </c>
      <c r="H14" s="431"/>
      <c r="I14" s="319" t="s">
        <v>506</v>
      </c>
      <c r="J14" s="319" t="s">
        <v>507</v>
      </c>
    </row>
    <row r="15" spans="1:10">
      <c r="B15" s="319" t="s">
        <v>508</v>
      </c>
      <c r="C15" s="432">
        <v>62914</v>
      </c>
      <c r="D15" s="432">
        <v>311617</v>
      </c>
      <c r="E15" s="430"/>
      <c r="F15" s="92" t="s">
        <v>509</v>
      </c>
      <c r="G15" s="431">
        <v>89</v>
      </c>
      <c r="H15" s="275">
        <f t="shared" ref="H15:H32" si="0">G15/$G$33</f>
        <v>3.373768006065201E-2</v>
      </c>
      <c r="I15" s="433">
        <f>H15*$C$19</f>
        <v>3.5700876396345515E-3</v>
      </c>
      <c r="J15" s="99">
        <f>I15*1000000</f>
        <v>3570.0876396345516</v>
      </c>
    </row>
    <row r="16" spans="1:10">
      <c r="B16" s="92" t="s">
        <v>510</v>
      </c>
      <c r="C16" s="434">
        <v>4.2999999999999997E-2</v>
      </c>
      <c r="D16" s="434">
        <v>7.1999999999999995E-2</v>
      </c>
      <c r="F16" s="92" t="s">
        <v>511</v>
      </c>
      <c r="G16" s="431">
        <v>0</v>
      </c>
      <c r="H16" s="275">
        <f t="shared" si="0"/>
        <v>0</v>
      </c>
      <c r="I16" s="433">
        <f t="shared" ref="I16:I32" si="1">H16*$C$19</f>
        <v>0</v>
      </c>
      <c r="J16" s="99">
        <f t="shared" ref="J16:J33" si="2">I16*1000000</f>
        <v>0</v>
      </c>
    </row>
    <row r="17" spans="2:10">
      <c r="B17" s="319" t="s">
        <v>512</v>
      </c>
      <c r="C17" s="211">
        <f>G33</f>
        <v>2638</v>
      </c>
      <c r="D17" s="211">
        <f>D15*D16</f>
        <v>22436.423999999999</v>
      </c>
      <c r="F17" s="92" t="s">
        <v>513</v>
      </c>
      <c r="G17" s="431">
        <v>157</v>
      </c>
      <c r="H17" s="275">
        <f t="shared" si="0"/>
        <v>5.9514783927217589E-2</v>
      </c>
      <c r="I17" s="433">
        <f t="shared" si="1"/>
        <v>6.2977950496924109E-3</v>
      </c>
      <c r="J17" s="99">
        <f t="shared" si="2"/>
        <v>6297.7950496924113</v>
      </c>
    </row>
    <row r="18" spans="2:10" ht="30">
      <c r="B18" s="319" t="s">
        <v>514</v>
      </c>
      <c r="C18" s="435"/>
      <c r="D18" s="436">
        <f>C8/D17</f>
        <v>4.0113344265556757E-5</v>
      </c>
      <c r="F18" s="92" t="s">
        <v>515</v>
      </c>
      <c r="G18" s="431">
        <v>71</v>
      </c>
      <c r="H18" s="275">
        <f t="shared" si="0"/>
        <v>2.6914329037149357E-2</v>
      </c>
      <c r="I18" s="433">
        <f t="shared" si="1"/>
        <v>2.8480474428545302E-3</v>
      </c>
      <c r="J18" s="99">
        <f t="shared" si="2"/>
        <v>2848.0474428545303</v>
      </c>
    </row>
    <row r="19" spans="2:10">
      <c r="B19" s="437" t="s">
        <v>516</v>
      </c>
      <c r="C19" s="433">
        <f>C17*D18</f>
        <v>0.10581900217253873</v>
      </c>
      <c r="D19" s="435"/>
      <c r="F19" s="92" t="s">
        <v>517</v>
      </c>
      <c r="G19" s="431">
        <v>753</v>
      </c>
      <c r="H19" s="275">
        <f t="shared" si="0"/>
        <v>0.28544351781652766</v>
      </c>
      <c r="I19" s="433">
        <f t="shared" si="1"/>
        <v>3.0205348231964236E-2</v>
      </c>
      <c r="J19" s="99">
        <f t="shared" si="2"/>
        <v>30205.348231964235</v>
      </c>
    </row>
    <row r="20" spans="2:10">
      <c r="F20" s="92" t="s">
        <v>518</v>
      </c>
      <c r="G20" s="431">
        <v>84</v>
      </c>
      <c r="H20" s="275">
        <f t="shared" si="0"/>
        <v>3.1842304776345719E-2</v>
      </c>
      <c r="I20" s="433">
        <f t="shared" si="1"/>
        <v>3.3695209183067678E-3</v>
      </c>
      <c r="J20" s="99">
        <f t="shared" si="2"/>
        <v>3369.5209183067677</v>
      </c>
    </row>
    <row r="21" spans="2:10">
      <c r="F21" s="92" t="s">
        <v>519</v>
      </c>
      <c r="G21" s="431">
        <v>186</v>
      </c>
      <c r="H21" s="275">
        <f t="shared" si="0"/>
        <v>7.0507960576194087E-2</v>
      </c>
      <c r="I21" s="433">
        <f t="shared" si="1"/>
        <v>7.461082033393557E-3</v>
      </c>
      <c r="J21" s="99">
        <f t="shared" si="2"/>
        <v>7461.0820333935571</v>
      </c>
    </row>
    <row r="22" spans="2:10">
      <c r="F22" s="92" t="s">
        <v>520</v>
      </c>
      <c r="G22" s="431">
        <v>101</v>
      </c>
      <c r="H22" s="275">
        <f t="shared" si="0"/>
        <v>3.828658074298711E-2</v>
      </c>
      <c r="I22" s="433">
        <f t="shared" si="1"/>
        <v>4.0514477708212321E-3</v>
      </c>
      <c r="J22" s="99">
        <f t="shared" si="2"/>
        <v>4051.4477708212321</v>
      </c>
    </row>
    <row r="23" spans="2:10">
      <c r="F23" s="92" t="s">
        <v>521</v>
      </c>
      <c r="G23" s="431">
        <v>19</v>
      </c>
      <c r="H23" s="275">
        <f t="shared" si="0"/>
        <v>7.2024260803639122E-3</v>
      </c>
      <c r="I23" s="433">
        <f t="shared" si="1"/>
        <v>7.6215354104557846E-4</v>
      </c>
      <c r="J23" s="99">
        <f t="shared" si="2"/>
        <v>762.15354104557844</v>
      </c>
    </row>
    <row r="24" spans="2:10">
      <c r="F24" s="92" t="s">
        <v>522</v>
      </c>
      <c r="G24" s="431">
        <v>380</v>
      </c>
      <c r="H24" s="275">
        <f t="shared" si="0"/>
        <v>0.14404852160727824</v>
      </c>
      <c r="I24" s="433">
        <f t="shared" si="1"/>
        <v>1.5243070820911569E-2</v>
      </c>
      <c r="J24" s="99">
        <f t="shared" si="2"/>
        <v>15243.070820911569</v>
      </c>
    </row>
    <row r="25" spans="2:10">
      <c r="F25" s="92" t="s">
        <v>523</v>
      </c>
      <c r="G25" s="431">
        <v>277</v>
      </c>
      <c r="H25" s="275">
        <f t="shared" si="0"/>
        <v>0.10500379075056861</v>
      </c>
      <c r="I25" s="433">
        <f t="shared" si="1"/>
        <v>1.1111396361559221E-2</v>
      </c>
      <c r="J25" s="99">
        <f t="shared" si="2"/>
        <v>11111.39636155922</v>
      </c>
    </row>
    <row r="26" spans="2:10">
      <c r="F26" s="92" t="s">
        <v>524</v>
      </c>
      <c r="G26" s="431">
        <v>149</v>
      </c>
      <c r="H26" s="275">
        <f t="shared" si="0"/>
        <v>5.6482183472327523E-2</v>
      </c>
      <c r="I26" s="433">
        <f t="shared" si="1"/>
        <v>5.9768882955679569E-3</v>
      </c>
      <c r="J26" s="99">
        <f t="shared" si="2"/>
        <v>5976.8882955679574</v>
      </c>
    </row>
    <row r="27" spans="2:10">
      <c r="F27" s="92" t="s">
        <v>525</v>
      </c>
      <c r="G27" s="431">
        <v>128</v>
      </c>
      <c r="H27" s="275">
        <f t="shared" si="0"/>
        <v>4.8521607278241091E-2</v>
      </c>
      <c r="I27" s="433">
        <f t="shared" si="1"/>
        <v>5.1345080659912648E-3</v>
      </c>
      <c r="J27" s="99">
        <f t="shared" si="2"/>
        <v>5134.5080659912646</v>
      </c>
    </row>
    <row r="28" spans="2:10">
      <c r="F28" s="92" t="s">
        <v>526</v>
      </c>
      <c r="G28" s="431">
        <v>21</v>
      </c>
      <c r="H28" s="275">
        <f t="shared" si="0"/>
        <v>7.9605761940864297E-3</v>
      </c>
      <c r="I28" s="433">
        <f t="shared" si="1"/>
        <v>8.4238022957669196E-4</v>
      </c>
      <c r="J28" s="99">
        <f t="shared" si="2"/>
        <v>842.38022957669193</v>
      </c>
    </row>
    <row r="29" spans="2:10">
      <c r="F29" s="92" t="s">
        <v>527</v>
      </c>
      <c r="G29" s="431">
        <v>14</v>
      </c>
      <c r="H29" s="275">
        <f t="shared" si="0"/>
        <v>5.3070507960576198E-3</v>
      </c>
      <c r="I29" s="433">
        <f t="shared" si="1"/>
        <v>5.6158681971779461E-4</v>
      </c>
      <c r="J29" s="99">
        <f t="shared" si="2"/>
        <v>561.58681971779458</v>
      </c>
    </row>
    <row r="30" spans="2:10">
      <c r="F30" s="92" t="s">
        <v>528</v>
      </c>
      <c r="G30" s="431">
        <v>29</v>
      </c>
      <c r="H30" s="275">
        <f t="shared" si="0"/>
        <v>1.0993176648976498E-2</v>
      </c>
      <c r="I30" s="433">
        <f t="shared" si="1"/>
        <v>1.1632869837011461E-3</v>
      </c>
      <c r="J30" s="99">
        <f t="shared" si="2"/>
        <v>1163.286983701146</v>
      </c>
    </row>
    <row r="31" spans="2:10">
      <c r="F31" s="92" t="s">
        <v>529</v>
      </c>
      <c r="G31" s="431">
        <v>161</v>
      </c>
      <c r="H31" s="275">
        <f t="shared" si="0"/>
        <v>6.1031084154662622E-2</v>
      </c>
      <c r="I31" s="433">
        <f t="shared" si="1"/>
        <v>6.4582484267546383E-3</v>
      </c>
      <c r="J31" s="99">
        <f t="shared" si="2"/>
        <v>6458.2484267546388</v>
      </c>
    </row>
    <row r="32" spans="2:10">
      <c r="F32" s="92" t="s">
        <v>530</v>
      </c>
      <c r="G32" s="431">
        <v>19</v>
      </c>
      <c r="H32" s="275">
        <f t="shared" si="0"/>
        <v>7.2024260803639122E-3</v>
      </c>
      <c r="I32" s="433">
        <f t="shared" si="1"/>
        <v>7.6215354104557846E-4</v>
      </c>
      <c r="J32" s="99">
        <f t="shared" si="2"/>
        <v>762.15354104557844</v>
      </c>
    </row>
    <row r="33" spans="6:10">
      <c r="F33" s="92" t="s">
        <v>531</v>
      </c>
      <c r="G33" s="92">
        <v>2638</v>
      </c>
      <c r="H33" s="92"/>
      <c r="I33" s="433">
        <f>SUM(I15:I32)</f>
        <v>0.10581900217253873</v>
      </c>
      <c r="J33" s="99">
        <f t="shared" si="2"/>
        <v>105819.00217253873</v>
      </c>
    </row>
  </sheetData>
  <mergeCells count="4">
    <mergeCell ref="F3:I3"/>
    <mergeCell ref="F4:I9"/>
    <mergeCell ref="B13:D13"/>
    <mergeCell ref="F13:G13"/>
  </mergeCells>
  <conditionalFormatting sqref="J15:J32">
    <cfRule type="dataBar" priority="1">
      <dataBar>
        <cfvo type="min"/>
        <cfvo type="max"/>
        <color rgb="FF008AEF"/>
      </dataBar>
      <extLst>
        <ext xmlns:x14="http://schemas.microsoft.com/office/spreadsheetml/2009/9/main" uri="{B025F937-C7B1-47D3-B67F-A62EFF666E3E}">
          <x14:id>{01DB0D9E-4E3B-4070-A86A-E8A601913580}</x14:id>
        </ext>
      </extLst>
    </cfRule>
  </conditionalFormatting>
  <hyperlinks>
    <hyperlink ref="B13" r:id="rId1"/>
  </hyperlinks>
  <pageMargins left="0.7" right="0.7" top="0.75" bottom="0.75" header="0.3" footer="0.3"/>
  <legacyDrawing r:id="rId2"/>
  <extLst>
    <ext xmlns:x14="http://schemas.microsoft.com/office/spreadsheetml/2009/9/main" uri="{78C0D931-6437-407d-A8EE-F0AAD7539E65}">
      <x14:conditionalFormattings>
        <x14:conditionalFormatting xmlns:xm="http://schemas.microsoft.com/office/excel/2006/main">
          <x14:cfRule type="dataBar" id="{01DB0D9E-4E3B-4070-A86A-E8A601913580}">
            <x14:dataBar minLength="0" maxLength="100" border="1" negativeBarBorderColorSameAsPositive="0">
              <x14:cfvo type="autoMin"/>
              <x14:cfvo type="autoMax"/>
              <x14:borderColor rgb="FF008AEF"/>
              <x14:negativeFillColor rgb="FFFF0000"/>
              <x14:negativeBorderColor rgb="FFFF0000"/>
              <x14:axisColor rgb="FF000000"/>
            </x14:dataBar>
          </x14:cfRule>
          <xm:sqref>J15:J32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
  <sheetViews>
    <sheetView showGridLines="0" zoomScaleNormal="100" workbookViewId="0">
      <selection activeCell="G35" sqref="G35"/>
    </sheetView>
  </sheetViews>
  <sheetFormatPr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X21"/>
  <sheetViews>
    <sheetView showGridLines="0" zoomScale="70" zoomScaleNormal="70" workbookViewId="0">
      <selection activeCell="F25" sqref="F25"/>
    </sheetView>
  </sheetViews>
  <sheetFormatPr defaultRowHeight="15"/>
  <cols>
    <col min="1" max="1" width="12.5703125" style="166" customWidth="1"/>
    <col min="2" max="2" width="14" style="166" customWidth="1"/>
    <col min="3" max="3" width="18" style="166" customWidth="1"/>
    <col min="4" max="4" width="14.42578125" style="166" customWidth="1"/>
    <col min="5" max="5" width="15" style="166" customWidth="1"/>
    <col min="6" max="6" width="13.5703125" style="166" bestFit="1" customWidth="1"/>
    <col min="7" max="7" width="13.140625" style="166" bestFit="1" customWidth="1"/>
    <col min="8" max="8" width="16.42578125" style="166" customWidth="1"/>
    <col min="9" max="9" width="12.42578125" style="166" bestFit="1" customWidth="1"/>
    <col min="10" max="10" width="15.5703125" style="166" customWidth="1"/>
    <col min="11" max="11" width="12.42578125" style="166" bestFit="1" customWidth="1"/>
    <col min="12" max="14" width="12.7109375" style="166" bestFit="1" customWidth="1"/>
    <col min="15" max="15" width="14.28515625" style="166" bestFit="1" customWidth="1"/>
    <col min="16" max="16" width="15.85546875" style="166" bestFit="1" customWidth="1"/>
    <col min="17" max="17" width="17.28515625" style="166" bestFit="1" customWidth="1"/>
    <col min="18" max="18" width="12.7109375" style="166" bestFit="1" customWidth="1"/>
    <col min="19" max="19" width="14.5703125" style="166" bestFit="1" customWidth="1"/>
    <col min="20" max="20" width="12.42578125" style="166" bestFit="1" customWidth="1"/>
    <col min="21" max="22" width="12.85546875" style="166" bestFit="1" customWidth="1"/>
    <col min="23" max="23" width="12" style="166" customWidth="1"/>
    <col min="24" max="24" width="41.28515625" style="166" customWidth="1"/>
    <col min="25" max="16384" width="9.140625" style="166"/>
  </cols>
  <sheetData>
    <row r="1" spans="2:24">
      <c r="B1" s="166" t="s">
        <v>186</v>
      </c>
    </row>
    <row r="3" spans="2:24" s="180" customFormat="1" ht="30">
      <c r="B3" s="456"/>
      <c r="C3" s="456"/>
      <c r="D3" s="182" t="s">
        <v>26</v>
      </c>
      <c r="E3" s="182" t="s">
        <v>27</v>
      </c>
      <c r="F3" s="182" t="s">
        <v>28</v>
      </c>
      <c r="G3" s="182" t="s">
        <v>29</v>
      </c>
      <c r="H3" s="182" t="s">
        <v>30</v>
      </c>
      <c r="I3" s="182" t="s">
        <v>31</v>
      </c>
      <c r="J3" s="182" t="s">
        <v>32</v>
      </c>
      <c r="K3" s="182" t="s">
        <v>33</v>
      </c>
      <c r="L3" s="182" t="s">
        <v>34</v>
      </c>
      <c r="M3" s="182" t="s">
        <v>35</v>
      </c>
      <c r="N3" s="182" t="s">
        <v>36</v>
      </c>
      <c r="O3" s="182" t="s">
        <v>37</v>
      </c>
      <c r="P3" s="182" t="s">
        <v>38</v>
      </c>
      <c r="Q3" s="182" t="s">
        <v>39</v>
      </c>
      <c r="R3" s="182" t="s">
        <v>40</v>
      </c>
      <c r="S3" s="182" t="s">
        <v>41</v>
      </c>
      <c r="T3" s="182" t="s">
        <v>42</v>
      </c>
      <c r="U3" s="182" t="s">
        <v>43</v>
      </c>
      <c r="V3" s="182" t="s">
        <v>44</v>
      </c>
      <c r="W3" s="182" t="s">
        <v>23</v>
      </c>
      <c r="X3" s="181" t="s">
        <v>185</v>
      </c>
    </row>
    <row r="4" spans="2:24" ht="30">
      <c r="B4" s="179"/>
      <c r="C4" s="178" t="s">
        <v>184</v>
      </c>
      <c r="D4" s="177">
        <v>571</v>
      </c>
      <c r="E4" s="177">
        <v>5</v>
      </c>
      <c r="F4" s="177">
        <v>16101</v>
      </c>
      <c r="G4" s="177">
        <v>1732</v>
      </c>
      <c r="H4" s="177">
        <v>7051</v>
      </c>
      <c r="I4" s="177">
        <v>3231</v>
      </c>
      <c r="J4" s="177">
        <v>4638</v>
      </c>
      <c r="K4" s="177">
        <v>1872</v>
      </c>
      <c r="L4" s="177">
        <v>810</v>
      </c>
      <c r="M4" s="177">
        <v>1916</v>
      </c>
      <c r="N4" s="177">
        <v>4211</v>
      </c>
      <c r="O4" s="177">
        <v>1708</v>
      </c>
      <c r="P4" s="177">
        <v>2787</v>
      </c>
      <c r="Q4" s="177">
        <v>7807</v>
      </c>
      <c r="R4" s="177">
        <v>293</v>
      </c>
      <c r="S4" s="177">
        <v>1246</v>
      </c>
      <c r="T4" s="177">
        <v>823</v>
      </c>
      <c r="U4" s="177">
        <v>3479</v>
      </c>
      <c r="V4" s="177">
        <v>2994</v>
      </c>
      <c r="W4" s="177">
        <v>63275</v>
      </c>
      <c r="X4" s="172" t="s">
        <v>182</v>
      </c>
    </row>
    <row r="5" spans="2:24" ht="25.5" customHeight="1">
      <c r="B5" s="453" t="s">
        <v>183</v>
      </c>
      <c r="C5" s="176" t="s">
        <v>167</v>
      </c>
      <c r="D5" s="175">
        <f>'Residential Detailed'!D34*3412/1000000</f>
        <v>13877.941504</v>
      </c>
      <c r="E5" s="175">
        <f>'Residential Detailed'!E34*3412/1000000</f>
        <v>50.965043999999999</v>
      </c>
      <c r="F5" s="175">
        <f>'Residential Detailed'!F34*3412/1000000</f>
        <v>292004.79793200002</v>
      </c>
      <c r="G5" s="175">
        <f>'Residential Detailed'!G34*3412/1000000</f>
        <v>52287.436252</v>
      </c>
      <c r="H5" s="175">
        <f>'Residential Detailed'!H34*3412/1000000</f>
        <v>166150.98742799999</v>
      </c>
      <c r="I5" s="175">
        <f>'Residential Detailed'!I34*3412/1000000</f>
        <v>83804.561344000002</v>
      </c>
      <c r="J5" s="175">
        <f>'Residential Detailed'!J34*3412/1000000</f>
        <v>107188.45768000001</v>
      </c>
      <c r="K5" s="175">
        <f>'Residential Detailed'!K34*3412/1000000</f>
        <v>46737.968379999998</v>
      </c>
      <c r="L5" s="175">
        <f>'Residential Detailed'!L34*3412/1000000</f>
        <v>19523.191040000002</v>
      </c>
      <c r="M5" s="175">
        <f>'Residential Detailed'!M34*3412/1000000</f>
        <v>52031.061984</v>
      </c>
      <c r="N5" s="175">
        <f>'Residential Detailed'!N34*3412/1000000</f>
        <v>111412.708164</v>
      </c>
      <c r="O5" s="175">
        <f>'Residential Detailed'!O34*3412/1000000</f>
        <v>44935.770451999997</v>
      </c>
      <c r="P5" s="175">
        <f>'Residential Detailed'!P34*3412/1000000</f>
        <v>83285.872516000003</v>
      </c>
      <c r="Q5" s="175">
        <f>'Residential Detailed'!Q34*3412/1000000</f>
        <v>174770.17369600001</v>
      </c>
      <c r="R5" s="175">
        <f>'Residential Detailed'!R34*3412/1000000</f>
        <v>7493.663004</v>
      </c>
      <c r="S5" s="175">
        <f>'Residential Detailed'!S34*3412/1000000</f>
        <v>33190.588259999997</v>
      </c>
      <c r="T5" s="175">
        <f>'Residential Detailed'!T34*3412/1000000</f>
        <v>22896.61838</v>
      </c>
      <c r="U5" s="175">
        <f>'Residential Detailed'!U34*3412/1000000</f>
        <v>87764.610432000001</v>
      </c>
      <c r="V5" s="175">
        <f>'Residential Detailed'!V34*3412/1000000</f>
        <v>55751.588671999998</v>
      </c>
      <c r="W5" s="175">
        <f>'Residential Detailed'!W34*3412/1000000</f>
        <v>1455158.9621639999</v>
      </c>
      <c r="X5" s="172" t="s">
        <v>182</v>
      </c>
    </row>
    <row r="6" spans="2:24">
      <c r="B6" s="454"/>
      <c r="C6" s="174" t="s">
        <v>107</v>
      </c>
      <c r="D6" s="173">
        <f>'RES Calculations &amp; References '!D133</f>
        <v>27615.980312708551</v>
      </c>
      <c r="E6" s="173">
        <f>'RES Calculations &amp; References '!E133</f>
        <v>241.82119363142337</v>
      </c>
      <c r="F6" s="173">
        <f>'RES Calculations &amp; References '!F133</f>
        <v>143610.35370388025</v>
      </c>
      <c r="G6" s="173">
        <f>'RES Calculations &amp; References '!G133</f>
        <v>83766.861473925062</v>
      </c>
      <c r="H6" s="173">
        <f>'RES Calculations &amp; References '!H133</f>
        <v>143865.58537515491</v>
      </c>
      <c r="I6" s="173">
        <f>'RES Calculations &amp; References '!I133</f>
        <v>41814.304031705862</v>
      </c>
      <c r="J6" s="173">
        <f>'RES Calculations &amp; References '!J133</f>
        <v>74253.153573285206</v>
      </c>
      <c r="K6" s="173">
        <f>'RES Calculations &amp; References '!K133</f>
        <v>69678.24625798456</v>
      </c>
      <c r="L6" s="173">
        <f>'RES Calculations &amp; References '!L133</f>
        <v>39175.033368290584</v>
      </c>
      <c r="M6" s="173">
        <f>'RES Calculations &amp; References '!M133</f>
        <v>58362.975498140906</v>
      </c>
      <c r="N6" s="173">
        <f>'RES Calculations &amp; References '!N133</f>
        <v>111068.31561635999</v>
      </c>
      <c r="O6" s="173">
        <f>'RES Calculations &amp; References '!O133</f>
        <v>82606.119744494223</v>
      </c>
      <c r="P6" s="173">
        <f>'RES Calculations &amp; References '!P133</f>
        <v>59043.593288206692</v>
      </c>
      <c r="Q6" s="173">
        <f>'RES Calculations &amp; References '!Q133</f>
        <v>103794.21298503195</v>
      </c>
      <c r="R6" s="173">
        <f>'RES Calculations &amp; References '!R133</f>
        <v>14170.721946801408</v>
      </c>
      <c r="S6" s="173">
        <f>'RES Calculations &amp; References '!S133</f>
        <v>49727.637286681282</v>
      </c>
      <c r="T6" s="173">
        <f>'RES Calculations &amp; References '!T133</f>
        <v>39803.768471732292</v>
      </c>
      <c r="U6" s="173">
        <f>'RES Calculations &amp; References '!U133</f>
        <v>66062.464248260076</v>
      </c>
      <c r="V6" s="173">
        <f>'RES Calculations &amp; References '!V133</f>
        <v>33180.117265706933</v>
      </c>
      <c r="W6" s="173">
        <f>'RES Calculations &amp; References '!W133</f>
        <v>1241841.2656419817</v>
      </c>
      <c r="X6" s="172" t="s">
        <v>180</v>
      </c>
    </row>
    <row r="7" spans="2:24">
      <c r="B7" s="454"/>
      <c r="C7" s="174" t="s">
        <v>1</v>
      </c>
      <c r="D7" s="173">
        <f>'RES Calculations &amp; References '!D126</f>
        <v>0</v>
      </c>
      <c r="E7" s="173">
        <f>'RES Calculations &amp; References '!E126</f>
        <v>0</v>
      </c>
      <c r="F7" s="173">
        <f>'RES Calculations &amp; References '!F126</f>
        <v>923092</v>
      </c>
      <c r="G7" s="173">
        <f>'RES Calculations &amp; References '!G126</f>
        <v>0</v>
      </c>
      <c r="H7" s="173">
        <f>'RES Calculations &amp; References '!H126</f>
        <v>256964</v>
      </c>
      <c r="I7" s="173">
        <f>'RES Calculations &amp; References '!I126</f>
        <v>191937.43721279447</v>
      </c>
      <c r="J7" s="173">
        <f>'RES Calculations &amp; References '!J126</f>
        <v>246958.76278720555</v>
      </c>
      <c r="K7" s="173">
        <f>'RES Calculations &amp; References '!K126</f>
        <v>12380.8</v>
      </c>
      <c r="L7" s="173">
        <f>'RES Calculations &amp; References '!L126</f>
        <v>0</v>
      </c>
      <c r="M7" s="173">
        <f>'RES Calculations &amp; References '!M126</f>
        <v>46431.199999999997</v>
      </c>
      <c r="N7" s="173">
        <f>'RES Calculations &amp; References '!N126</f>
        <v>112098.3</v>
      </c>
      <c r="O7" s="173">
        <f>'RES Calculations &amp; References '!O126</f>
        <v>0</v>
      </c>
      <c r="P7" s="173">
        <f>'RES Calculations &amp; References '!P126</f>
        <v>128126.39999999999</v>
      </c>
      <c r="Q7" s="173">
        <f>'RES Calculations &amp; References '!Q126</f>
        <v>451934.1</v>
      </c>
      <c r="R7" s="173">
        <f>'RES Calculations &amp; References '!R126</f>
        <v>0</v>
      </c>
      <c r="S7" s="173">
        <f>'RES Calculations &amp; References '!S126</f>
        <v>7167.1</v>
      </c>
      <c r="T7" s="173">
        <f>'RES Calculations &amp; References '!T126</f>
        <v>0</v>
      </c>
      <c r="U7" s="173">
        <f>'RES Calculations &amp; References '!U126</f>
        <v>150740.20000000001</v>
      </c>
      <c r="V7" s="173">
        <f>'RES Calculations &amp; References '!V126</f>
        <v>160942.29999999999</v>
      </c>
      <c r="W7" s="173">
        <f>'RES Calculations &amp; References '!W126</f>
        <v>2688772.6</v>
      </c>
      <c r="X7" s="172" t="s">
        <v>181</v>
      </c>
    </row>
    <row r="8" spans="2:24">
      <c r="B8" s="454"/>
      <c r="C8" s="174" t="s">
        <v>178</v>
      </c>
      <c r="D8" s="173">
        <f>'RES Calculations &amp; References '!D147</f>
        <v>1932.0040041948705</v>
      </c>
      <c r="E8" s="173">
        <f>'RES Calculations &amp; References '!E147</f>
        <v>16.917723329202019</v>
      </c>
      <c r="F8" s="173">
        <f>'RES Calculations &amp; References '!F147</f>
        <v>10198.970349890362</v>
      </c>
      <c r="G8" s="173">
        <f>'RES Calculations &amp; References '!G147</f>
        <v>5860.2993612355795</v>
      </c>
      <c r="H8" s="173">
        <f>'RES Calculations &amp; References '!H147</f>
        <v>10217.096482028792</v>
      </c>
      <c r="I8" s="173">
        <f>'RES Calculations &amp; References '!I147</f>
        <v>2969.5828749229413</v>
      </c>
      <c r="J8" s="173">
        <f>'RES Calculations &amp; References '!J147</f>
        <v>5273.3364423106323</v>
      </c>
      <c r="K8" s="173">
        <f>'RES Calculations &amp; References '!K147</f>
        <v>4948.4340737915918</v>
      </c>
      <c r="L8" s="173">
        <f>'RES Calculations &amp; References '!L147</f>
        <v>2740.6711793307268</v>
      </c>
      <c r="M8" s="173">
        <f>'RES Calculations &amp; References '!M147</f>
        <v>4144.8422156544957</v>
      </c>
      <c r="N8" s="173">
        <f>'RES Calculations &amp; References '!N147</f>
        <v>7887.8885022404411</v>
      </c>
      <c r="O8" s="173">
        <f>'RES Calculations &amp; References '!O147</f>
        <v>5779.0942892554094</v>
      </c>
      <c r="P8" s="173">
        <f>'RES Calculations &amp; References '!P147</f>
        <v>4193.1785680236444</v>
      </c>
      <c r="Q8" s="173">
        <f>'RES Calculations &amp; References '!Q147</f>
        <v>7371.2937362951661</v>
      </c>
      <c r="R8" s="173">
        <f>'RES Calculations &amp; References '!R147</f>
        <v>991.3785870912385</v>
      </c>
      <c r="S8" s="173">
        <f>'RES Calculations &amp; References '!S147</f>
        <v>3531.5747449709215</v>
      </c>
      <c r="T8" s="173">
        <f>'RES Calculations &amp; References '!T147</f>
        <v>2784.6572599866527</v>
      </c>
      <c r="U8" s="173">
        <f>'RES Calculations &amp; References '!U147</f>
        <v>4691.6472018304903</v>
      </c>
      <c r="V8" s="173">
        <f>'RES Calculations &amp; References '!V147</f>
        <v>2356.3971779959957</v>
      </c>
      <c r="W8" s="173">
        <f>'RES Calculations &amp; References '!W147</f>
        <v>87889.264774379146</v>
      </c>
      <c r="X8" s="172" t="s">
        <v>180</v>
      </c>
    </row>
    <row r="9" spans="2:24">
      <c r="B9" s="454"/>
      <c r="C9" s="174" t="s">
        <v>131</v>
      </c>
      <c r="D9" s="173">
        <f>'RES Calculations &amp; References '!D140</f>
        <v>3200.9533797311465</v>
      </c>
      <c r="E9" s="173">
        <f>'RES Calculations &amp; References '!E140</f>
        <v>28.029364095719327</v>
      </c>
      <c r="F9" s="173">
        <f>'RES Calculations &amp; References '!F140</f>
        <v>16897.702354847934</v>
      </c>
      <c r="G9" s="173">
        <f>'RES Calculations &amp; References '!G140</f>
        <v>9709.3717227571724</v>
      </c>
      <c r="H9" s="173">
        <f>'RES Calculations &amp; References '!H140</f>
        <v>16927.733816379059</v>
      </c>
      <c r="I9" s="173">
        <f>'RES Calculations &amp; References '!I140</f>
        <v>4920.0189643693684</v>
      </c>
      <c r="J9" s="173">
        <f>'RES Calculations &amp; References '!J140</f>
        <v>8736.8887801596265</v>
      </c>
      <c r="K9" s="173">
        <f>'RES Calculations &amp; References '!K140</f>
        <v>8198.5889979979002</v>
      </c>
      <c r="L9" s="173">
        <f>'RES Calculations &amp; References '!L140</f>
        <v>4540.7569835065306</v>
      </c>
      <c r="M9" s="173">
        <f>'RES Calculations &amp; References '!M140</f>
        <v>6867.1942034512331</v>
      </c>
      <c r="N9" s="173">
        <f>'RES Calculations &amp; References '!N140</f>
        <v>13068.691009629132</v>
      </c>
      <c r="O9" s="173">
        <f>'RES Calculations &amp; References '!O140</f>
        <v>9574.8307750977219</v>
      </c>
      <c r="P9" s="173">
        <f>'RES Calculations &amp; References '!P140</f>
        <v>6947.2781008675738</v>
      </c>
      <c r="Q9" s="173">
        <f>'RES Calculations &amp; References '!Q140</f>
        <v>12212.79435599199</v>
      </c>
      <c r="R9" s="173">
        <f>'RES Calculations &amp; References '!R140</f>
        <v>1642.5207360091524</v>
      </c>
      <c r="S9" s="173">
        <f>'RES Calculations &amp; References '!S140</f>
        <v>5851.129754981409</v>
      </c>
      <c r="T9" s="173">
        <f>'RES Calculations &amp; References '!T140</f>
        <v>4613.6333301554014</v>
      </c>
      <c r="U9" s="173">
        <f>'RES Calculations &amp; References '!U140</f>
        <v>7773.1432929735893</v>
      </c>
      <c r="V9" s="173">
        <f>'RES Calculations &amp; References '!V140</f>
        <v>3904.0899990466196</v>
      </c>
      <c r="W9" s="173">
        <f>'RES Calculations &amp; References '!W140</f>
        <v>145615.34992204831</v>
      </c>
      <c r="X9" s="172" t="s">
        <v>180</v>
      </c>
    </row>
    <row r="10" spans="2:24">
      <c r="B10" s="455"/>
      <c r="C10" s="174" t="s">
        <v>23</v>
      </c>
      <c r="D10" s="173">
        <f t="shared" ref="D10:W10" si="0">SUM(D4:D9)</f>
        <v>47197.879200634561</v>
      </c>
      <c r="E10" s="173">
        <f t="shared" si="0"/>
        <v>342.73332505634471</v>
      </c>
      <c r="F10" s="173">
        <f t="shared" si="0"/>
        <v>1401904.8243406184</v>
      </c>
      <c r="G10" s="173">
        <f t="shared" si="0"/>
        <v>153355.9688099178</v>
      </c>
      <c r="H10" s="173">
        <f t="shared" si="0"/>
        <v>601176.40310156287</v>
      </c>
      <c r="I10" s="173">
        <f t="shared" si="0"/>
        <v>328676.90442779264</v>
      </c>
      <c r="J10" s="173">
        <f t="shared" si="0"/>
        <v>447048.59926296101</v>
      </c>
      <c r="K10" s="173">
        <f t="shared" si="0"/>
        <v>143816.03770977404</v>
      </c>
      <c r="L10" s="173">
        <f t="shared" si="0"/>
        <v>66789.652571127837</v>
      </c>
      <c r="M10" s="173">
        <f t="shared" si="0"/>
        <v>169753.27390124663</v>
      </c>
      <c r="N10" s="173">
        <f t="shared" si="0"/>
        <v>359746.90329222952</v>
      </c>
      <c r="O10" s="173">
        <f t="shared" si="0"/>
        <v>144603.81526084733</v>
      </c>
      <c r="P10" s="173">
        <f t="shared" si="0"/>
        <v>284383.32247309794</v>
      </c>
      <c r="Q10" s="173">
        <f t="shared" si="0"/>
        <v>757889.57477331918</v>
      </c>
      <c r="R10" s="173">
        <f t="shared" si="0"/>
        <v>24591.284273901801</v>
      </c>
      <c r="S10" s="173">
        <f t="shared" si="0"/>
        <v>100714.0300466336</v>
      </c>
      <c r="T10" s="173">
        <f t="shared" si="0"/>
        <v>70921.677441874344</v>
      </c>
      <c r="U10" s="173">
        <f t="shared" si="0"/>
        <v>320511.06517506414</v>
      </c>
      <c r="V10" s="173">
        <f t="shared" si="0"/>
        <v>259128.49311474952</v>
      </c>
      <c r="W10" s="173">
        <f t="shared" si="0"/>
        <v>5682552.4425024083</v>
      </c>
      <c r="X10" s="172"/>
    </row>
    <row r="11" spans="2:24" ht="38.25" customHeight="1">
      <c r="B11" s="452" t="s">
        <v>179</v>
      </c>
      <c r="C11" s="171" t="s">
        <v>167</v>
      </c>
      <c r="D11" s="170">
        <f t="shared" ref="D11:W11" si="1">D5/D$4</f>
        <v>24.304626101576183</v>
      </c>
      <c r="E11" s="170">
        <f t="shared" si="1"/>
        <v>10.193008799999999</v>
      </c>
      <c r="F11" s="170">
        <f t="shared" si="1"/>
        <v>18.135817522638348</v>
      </c>
      <c r="G11" s="170">
        <f t="shared" si="1"/>
        <v>30.189050953810622</v>
      </c>
      <c r="H11" s="170">
        <f t="shared" si="1"/>
        <v>23.564173511274994</v>
      </c>
      <c r="I11" s="170">
        <f t="shared" si="1"/>
        <v>25.937654393067163</v>
      </c>
      <c r="J11" s="170">
        <f t="shared" si="1"/>
        <v>23.110922311341096</v>
      </c>
      <c r="K11" s="170">
        <f t="shared" si="1"/>
        <v>24.966863450854699</v>
      </c>
      <c r="L11" s="170">
        <f t="shared" si="1"/>
        <v>24.102704987654324</v>
      </c>
      <c r="M11" s="170">
        <f t="shared" si="1"/>
        <v>27.156086630480168</v>
      </c>
      <c r="N11" s="170">
        <f t="shared" si="1"/>
        <v>26.457541715507006</v>
      </c>
      <c r="O11" s="170">
        <f t="shared" si="1"/>
        <v>26.308999093676814</v>
      </c>
      <c r="P11" s="170">
        <f t="shared" si="1"/>
        <v>29.883700221026196</v>
      </c>
      <c r="Q11" s="170">
        <f t="shared" si="1"/>
        <v>22.386342218009482</v>
      </c>
      <c r="R11" s="170">
        <f t="shared" si="1"/>
        <v>25.575641651877135</v>
      </c>
      <c r="S11" s="170">
        <f t="shared" si="1"/>
        <v>26.637711284109148</v>
      </c>
      <c r="T11" s="170">
        <f t="shared" si="1"/>
        <v>27.820921482381532</v>
      </c>
      <c r="U11" s="170">
        <f t="shared" si="1"/>
        <v>25.226964769186548</v>
      </c>
      <c r="V11" s="170">
        <f t="shared" si="1"/>
        <v>18.621105100868402</v>
      </c>
      <c r="W11" s="170">
        <f t="shared" si="1"/>
        <v>22.997375933054126</v>
      </c>
      <c r="X11" s="449"/>
    </row>
    <row r="12" spans="2:24" ht="15" customHeight="1">
      <c r="B12" s="452"/>
      <c r="C12" s="169" t="s">
        <v>107</v>
      </c>
      <c r="D12" s="170">
        <f t="shared" ref="D12:W12" si="2">D6/D$4</f>
        <v>48.364238726284675</v>
      </c>
      <c r="E12" s="170">
        <f t="shared" si="2"/>
        <v>48.364238726284675</v>
      </c>
      <c r="F12" s="170">
        <f t="shared" si="2"/>
        <v>8.9193437490764698</v>
      </c>
      <c r="G12" s="170">
        <f t="shared" si="2"/>
        <v>48.364238726284675</v>
      </c>
      <c r="H12" s="170">
        <f t="shared" si="2"/>
        <v>20.40357188698836</v>
      </c>
      <c r="I12" s="170">
        <f t="shared" si="2"/>
        <v>12.941598276603486</v>
      </c>
      <c r="J12" s="170">
        <f t="shared" si="2"/>
        <v>16.00973556991919</v>
      </c>
      <c r="K12" s="170">
        <f t="shared" si="2"/>
        <v>37.221285394222519</v>
      </c>
      <c r="L12" s="170">
        <f t="shared" si="2"/>
        <v>48.364238726284668</v>
      </c>
      <c r="M12" s="170">
        <f t="shared" si="2"/>
        <v>30.460843161868947</v>
      </c>
      <c r="N12" s="170">
        <f t="shared" si="2"/>
        <v>26.375757686145807</v>
      </c>
      <c r="O12" s="170">
        <f t="shared" si="2"/>
        <v>48.364238726284675</v>
      </c>
      <c r="P12" s="170">
        <f t="shared" si="2"/>
        <v>21.18535819454851</v>
      </c>
      <c r="Q12" s="170">
        <f t="shared" si="2"/>
        <v>13.295018955428711</v>
      </c>
      <c r="R12" s="170">
        <f t="shared" si="2"/>
        <v>48.364238726284668</v>
      </c>
      <c r="S12" s="170">
        <f t="shared" si="2"/>
        <v>39.909821257368606</v>
      </c>
      <c r="T12" s="170">
        <f t="shared" si="2"/>
        <v>48.364238726284682</v>
      </c>
      <c r="U12" s="170">
        <f t="shared" si="2"/>
        <v>18.988923325168173</v>
      </c>
      <c r="V12" s="170">
        <f t="shared" si="2"/>
        <v>11.082203495560098</v>
      </c>
      <c r="W12" s="170">
        <f t="shared" si="2"/>
        <v>19.626096651789517</v>
      </c>
      <c r="X12" s="450"/>
    </row>
    <row r="13" spans="2:24" ht="38.25" customHeight="1">
      <c r="B13" s="452"/>
      <c r="C13" s="169" t="s">
        <v>1</v>
      </c>
      <c r="D13" s="170">
        <f t="shared" ref="D13:W13" si="3">D7/D$4</f>
        <v>0</v>
      </c>
      <c r="E13" s="170">
        <f t="shared" si="3"/>
        <v>0</v>
      </c>
      <c r="F13" s="170">
        <f t="shared" si="3"/>
        <v>57.331345879137942</v>
      </c>
      <c r="G13" s="170">
        <f t="shared" si="3"/>
        <v>0</v>
      </c>
      <c r="H13" s="170">
        <f t="shared" si="3"/>
        <v>36.443625017727982</v>
      </c>
      <c r="I13" s="170">
        <f t="shared" si="3"/>
        <v>59.404963544659381</v>
      </c>
      <c r="J13" s="170">
        <f t="shared" si="3"/>
        <v>53.246822506943843</v>
      </c>
      <c r="K13" s="170">
        <f t="shared" si="3"/>
        <v>6.6136752136752133</v>
      </c>
      <c r="L13" s="170">
        <f t="shared" si="3"/>
        <v>0</v>
      </c>
      <c r="M13" s="170">
        <f t="shared" si="3"/>
        <v>24.23340292275574</v>
      </c>
      <c r="N13" s="170">
        <f t="shared" si="3"/>
        <v>26.6203514604607</v>
      </c>
      <c r="O13" s="170">
        <f t="shared" si="3"/>
        <v>0</v>
      </c>
      <c r="P13" s="170">
        <f t="shared" si="3"/>
        <v>45.972874058127019</v>
      </c>
      <c r="Q13" s="170">
        <f t="shared" si="3"/>
        <v>57.888318175995899</v>
      </c>
      <c r="R13" s="170">
        <f t="shared" si="3"/>
        <v>0</v>
      </c>
      <c r="S13" s="170">
        <f t="shared" si="3"/>
        <v>5.7520866773675765</v>
      </c>
      <c r="T13" s="170">
        <f t="shared" si="3"/>
        <v>0</v>
      </c>
      <c r="U13" s="170">
        <f t="shared" si="3"/>
        <v>43.328600172463354</v>
      </c>
      <c r="V13" s="170">
        <f t="shared" si="3"/>
        <v>53.754943219772876</v>
      </c>
      <c r="W13" s="170">
        <f t="shared" si="3"/>
        <v>42.493442907941528</v>
      </c>
      <c r="X13" s="450"/>
    </row>
    <row r="14" spans="2:24" ht="38.25" customHeight="1">
      <c r="B14" s="452"/>
      <c r="C14" s="169" t="s">
        <v>178</v>
      </c>
      <c r="D14" s="170">
        <f t="shared" ref="D14:W14" si="4">D8/D$4</f>
        <v>3.3835446658404038</v>
      </c>
      <c r="E14" s="170">
        <f t="shared" si="4"/>
        <v>3.3835446658404038</v>
      </c>
      <c r="F14" s="170">
        <f t="shared" si="4"/>
        <v>0.63343707533012616</v>
      </c>
      <c r="G14" s="170">
        <f t="shared" si="4"/>
        <v>3.3835446658404038</v>
      </c>
      <c r="H14" s="170">
        <f t="shared" si="4"/>
        <v>1.4490280076625714</v>
      </c>
      <c r="I14" s="170">
        <f t="shared" si="4"/>
        <v>0.91909095478890168</v>
      </c>
      <c r="J14" s="170">
        <f t="shared" si="4"/>
        <v>1.1369850026542976</v>
      </c>
      <c r="K14" s="170">
        <f t="shared" si="4"/>
        <v>2.6433942701878159</v>
      </c>
      <c r="L14" s="170">
        <f t="shared" si="4"/>
        <v>3.3835446658404034</v>
      </c>
      <c r="M14" s="170">
        <f t="shared" si="4"/>
        <v>2.1632788181912819</v>
      </c>
      <c r="N14" s="170">
        <f t="shared" si="4"/>
        <v>1.8731627884684021</v>
      </c>
      <c r="O14" s="170">
        <f t="shared" si="4"/>
        <v>3.3835446658404038</v>
      </c>
      <c r="P14" s="170">
        <f t="shared" si="4"/>
        <v>1.504549181206905</v>
      </c>
      <c r="Q14" s="170">
        <f t="shared" si="4"/>
        <v>0.94419030822277006</v>
      </c>
      <c r="R14" s="170">
        <f t="shared" si="4"/>
        <v>3.3835446658404043</v>
      </c>
      <c r="S14" s="170">
        <f t="shared" si="4"/>
        <v>2.8343296508594875</v>
      </c>
      <c r="T14" s="170">
        <f t="shared" si="4"/>
        <v>3.3835446658404043</v>
      </c>
      <c r="U14" s="170">
        <f t="shared" si="4"/>
        <v>1.348562001101032</v>
      </c>
      <c r="V14" s="170">
        <f t="shared" si="4"/>
        <v>0.78703980560988496</v>
      </c>
      <c r="W14" s="170">
        <f t="shared" si="4"/>
        <v>1.3890045796029893</v>
      </c>
      <c r="X14" s="450"/>
    </row>
    <row r="15" spans="2:24" ht="38.25" customHeight="1">
      <c r="B15" s="452"/>
      <c r="C15" s="169" t="s">
        <v>131</v>
      </c>
      <c r="D15" s="170">
        <f t="shared" ref="D15:W15" si="5">D9/D$4</f>
        <v>5.6058728191438645</v>
      </c>
      <c r="E15" s="170">
        <f t="shared" si="5"/>
        <v>5.6058728191438654</v>
      </c>
      <c r="F15" s="170">
        <f t="shared" si="5"/>
        <v>1.0494815449256527</v>
      </c>
      <c r="G15" s="170">
        <f t="shared" si="5"/>
        <v>5.6058728191438636</v>
      </c>
      <c r="H15" s="170">
        <f t="shared" si="5"/>
        <v>2.4007564623995261</v>
      </c>
      <c r="I15" s="170">
        <f t="shared" si="5"/>
        <v>1.522754244620665</v>
      </c>
      <c r="J15" s="170">
        <f t="shared" si="5"/>
        <v>1.8837621345751674</v>
      </c>
      <c r="K15" s="170">
        <f t="shared" si="5"/>
        <v>4.3795881399561436</v>
      </c>
      <c r="L15" s="170">
        <f t="shared" si="5"/>
        <v>5.6058728191438645</v>
      </c>
      <c r="M15" s="170">
        <f t="shared" si="5"/>
        <v>3.5841305863524182</v>
      </c>
      <c r="N15" s="170">
        <f t="shared" si="5"/>
        <v>3.1034649749772338</v>
      </c>
      <c r="O15" s="170">
        <f t="shared" si="5"/>
        <v>5.6058728191438654</v>
      </c>
      <c r="P15" s="170">
        <f t="shared" si="5"/>
        <v>2.4927442055499007</v>
      </c>
      <c r="Q15" s="170">
        <f t="shared" si="5"/>
        <v>1.5643389722034058</v>
      </c>
      <c r="R15" s="170">
        <f t="shared" si="5"/>
        <v>5.6058728191438645</v>
      </c>
      <c r="S15" s="170">
        <f t="shared" si="5"/>
        <v>4.6959307824890919</v>
      </c>
      <c r="T15" s="170">
        <f t="shared" si="5"/>
        <v>5.6058728191438654</v>
      </c>
      <c r="U15" s="170">
        <f t="shared" si="5"/>
        <v>2.2343039071496378</v>
      </c>
      <c r="V15" s="170">
        <f t="shared" si="5"/>
        <v>1.3039712755666732</v>
      </c>
      <c r="W15" s="170">
        <f t="shared" si="5"/>
        <v>2.3013093626558403</v>
      </c>
      <c r="X15" s="451"/>
    </row>
    <row r="16" spans="2:24">
      <c r="B16" s="452"/>
      <c r="C16" s="169" t="s">
        <v>23</v>
      </c>
      <c r="D16" s="168">
        <f t="shared" ref="D16:W16" si="6">SUM(D11:D15)</f>
        <v>81.658282312845131</v>
      </c>
      <c r="E16" s="168">
        <f t="shared" si="6"/>
        <v>67.546665011268942</v>
      </c>
      <c r="F16" s="168">
        <f t="shared" si="6"/>
        <v>86.069425771108541</v>
      </c>
      <c r="G16" s="168">
        <f t="shared" si="6"/>
        <v>87.542707165079577</v>
      </c>
      <c r="H16" s="168">
        <f t="shared" si="6"/>
        <v>84.261154886053447</v>
      </c>
      <c r="I16" s="168">
        <f t="shared" si="6"/>
        <v>100.7260614137396</v>
      </c>
      <c r="J16" s="168">
        <f t="shared" si="6"/>
        <v>95.388227525433592</v>
      </c>
      <c r="K16" s="168">
        <f t="shared" si="6"/>
        <v>75.824806468896384</v>
      </c>
      <c r="L16" s="168">
        <f t="shared" si="6"/>
        <v>81.456361198923261</v>
      </c>
      <c r="M16" s="168">
        <f t="shared" si="6"/>
        <v>87.597742119648558</v>
      </c>
      <c r="N16" s="168">
        <f t="shared" si="6"/>
        <v>84.43027862555914</v>
      </c>
      <c r="O16" s="168">
        <f t="shared" si="6"/>
        <v>83.662655304945758</v>
      </c>
      <c r="P16" s="168">
        <f t="shared" si="6"/>
        <v>101.03922586045853</v>
      </c>
      <c r="Q16" s="168">
        <f t="shared" si="6"/>
        <v>96.078208629860271</v>
      </c>
      <c r="R16" s="168">
        <f t="shared" si="6"/>
        <v>82.929297863146076</v>
      </c>
      <c r="S16" s="168">
        <f t="shared" si="6"/>
        <v>79.829879652193895</v>
      </c>
      <c r="T16" s="168">
        <f t="shared" si="6"/>
        <v>85.174577693650491</v>
      </c>
      <c r="U16" s="168">
        <f t="shared" si="6"/>
        <v>91.127354175068746</v>
      </c>
      <c r="V16" s="168">
        <f t="shared" si="6"/>
        <v>85.549262897377915</v>
      </c>
      <c r="W16" s="168">
        <f t="shared" si="6"/>
        <v>88.807229435043993</v>
      </c>
      <c r="X16" s="167"/>
    </row>
    <row r="21" ht="15" customHeight="1"/>
  </sheetData>
  <mergeCells count="4">
    <mergeCell ref="X11:X15"/>
    <mergeCell ref="B11:B16"/>
    <mergeCell ref="B5:B10"/>
    <mergeCell ref="B3:C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4:AA62"/>
  <sheetViews>
    <sheetView showGridLines="0" zoomScale="70" zoomScaleNormal="70" workbookViewId="0">
      <pane xSplit="3" ySplit="4" topLeftCell="R47" activePane="bottomRight" state="frozen"/>
      <selection pane="topRight" activeCell="D1" sqref="D1"/>
      <selection pane="bottomLeft" activeCell="A5" sqref="A5"/>
      <selection pane="bottomRight" activeCell="R22" sqref="R22"/>
    </sheetView>
  </sheetViews>
  <sheetFormatPr defaultRowHeight="15"/>
  <cols>
    <col min="1" max="1" width="13.28515625" style="183" customWidth="1"/>
    <col min="2" max="2" width="23.7109375" style="166" customWidth="1"/>
    <col min="3" max="3" width="28.7109375" style="166" customWidth="1"/>
    <col min="4" max="4" width="10.140625" style="166" customWidth="1"/>
    <col min="5" max="5" width="13.5703125" style="166" bestFit="1" customWidth="1"/>
    <col min="6" max="6" width="14.7109375" style="166" bestFit="1" customWidth="1"/>
    <col min="7" max="7" width="13.85546875" style="166" customWidth="1"/>
    <col min="8" max="8" width="15.140625" style="166" customWidth="1"/>
    <col min="9" max="9" width="13.28515625" style="166" bestFit="1" customWidth="1"/>
    <col min="10" max="10" width="14.140625" style="166" bestFit="1" customWidth="1"/>
    <col min="11" max="11" width="13.28515625" style="166" bestFit="1" customWidth="1"/>
    <col min="12" max="12" width="15.7109375" style="166" customWidth="1"/>
    <col min="13" max="13" width="13.28515625" style="166" bestFit="1" customWidth="1"/>
    <col min="14" max="14" width="13.7109375" style="166" bestFit="1" customWidth="1"/>
    <col min="15" max="15" width="13.28515625" style="166" bestFit="1" customWidth="1"/>
    <col min="16" max="17" width="13.7109375" style="166" bestFit="1" customWidth="1"/>
    <col min="18" max="20" width="13" style="166" bestFit="1" customWidth="1"/>
    <col min="21" max="21" width="14.140625" style="166" bestFit="1" customWidth="1"/>
    <col min="22" max="22" width="13.140625" style="166" bestFit="1" customWidth="1"/>
    <col min="23" max="23" width="15.42578125" style="166" bestFit="1" customWidth="1"/>
    <col min="24" max="24" width="15.140625" style="166" customWidth="1"/>
    <col min="25" max="25" width="16" style="166" customWidth="1"/>
    <col min="26" max="26" width="46.5703125" style="166" customWidth="1"/>
    <col min="27" max="27" width="12.85546875" style="166" bestFit="1" customWidth="1"/>
    <col min="28" max="16384" width="9.140625" style="166"/>
  </cols>
  <sheetData>
    <row r="4" spans="1:27" s="201" customFormat="1" ht="60">
      <c r="A4" s="202"/>
      <c r="B4" s="202" t="s">
        <v>233</v>
      </c>
      <c r="C4" s="203" t="s">
        <v>232</v>
      </c>
      <c r="D4" s="202" t="s">
        <v>26</v>
      </c>
      <c r="E4" s="202" t="s">
        <v>27</v>
      </c>
      <c r="F4" s="202" t="s">
        <v>28</v>
      </c>
      <c r="G4" s="202" t="s">
        <v>29</v>
      </c>
      <c r="H4" s="202" t="s">
        <v>30</v>
      </c>
      <c r="I4" s="202" t="s">
        <v>31</v>
      </c>
      <c r="J4" s="202" t="s">
        <v>32</v>
      </c>
      <c r="K4" s="202" t="s">
        <v>33</v>
      </c>
      <c r="L4" s="202" t="s">
        <v>34</v>
      </c>
      <c r="M4" s="202" t="s">
        <v>35</v>
      </c>
      <c r="N4" s="202" t="s">
        <v>36</v>
      </c>
      <c r="O4" s="202" t="s">
        <v>37</v>
      </c>
      <c r="P4" s="202" t="s">
        <v>38</v>
      </c>
      <c r="Q4" s="202" t="s">
        <v>39</v>
      </c>
      <c r="R4" s="202" t="s">
        <v>40</v>
      </c>
      <c r="S4" s="202" t="s">
        <v>41</v>
      </c>
      <c r="T4" s="202" t="s">
        <v>42</v>
      </c>
      <c r="U4" s="202" t="s">
        <v>43</v>
      </c>
      <c r="V4" s="202" t="s">
        <v>44</v>
      </c>
      <c r="W4" s="202" t="s">
        <v>23</v>
      </c>
      <c r="X4" s="202" t="s">
        <v>231</v>
      </c>
      <c r="Y4" s="202" t="s">
        <v>230</v>
      </c>
      <c r="Z4" s="202" t="s">
        <v>229</v>
      </c>
    </row>
    <row r="5" spans="1:27" ht="15" customHeight="1">
      <c r="A5" s="469" t="s">
        <v>228</v>
      </c>
      <c r="B5" s="464" t="s">
        <v>19</v>
      </c>
      <c r="C5" s="92" t="s">
        <v>227</v>
      </c>
      <c r="D5" s="195">
        <f>'RES Calculations &amp; References '!AB35</f>
        <v>114200</v>
      </c>
      <c r="E5" s="195">
        <f>'RES Calculations &amp; References '!AC35</f>
        <v>1000</v>
      </c>
      <c r="F5" s="195">
        <f>'RES Calculations &amp; References '!AD35</f>
        <v>3220200</v>
      </c>
      <c r="G5" s="195">
        <f>'RES Calculations &amp; References '!AE35</f>
        <v>346400</v>
      </c>
      <c r="H5" s="195">
        <f>'RES Calculations &amp; References '!AF35</f>
        <v>1410200</v>
      </c>
      <c r="I5" s="195">
        <f>'RES Calculations &amp; References '!AG35</f>
        <v>646200</v>
      </c>
      <c r="J5" s="195">
        <f>'RES Calculations &amp; References '!AH35</f>
        <v>927600</v>
      </c>
      <c r="K5" s="195">
        <f>'RES Calculations &amp; References '!AI35</f>
        <v>374400</v>
      </c>
      <c r="L5" s="195">
        <f>'RES Calculations &amp; References '!AJ35</f>
        <v>162000</v>
      </c>
      <c r="M5" s="195">
        <f>'RES Calculations &amp; References '!AK35</f>
        <v>383200</v>
      </c>
      <c r="N5" s="195">
        <f>'RES Calculations &amp; References '!AL35</f>
        <v>842200</v>
      </c>
      <c r="O5" s="195">
        <f>'RES Calculations &amp; References '!AM35</f>
        <v>341600.00000000006</v>
      </c>
      <c r="P5" s="195">
        <f>'RES Calculations &amp; References '!AN35</f>
        <v>557400</v>
      </c>
      <c r="Q5" s="195">
        <f>'RES Calculations &amp; References '!AO35</f>
        <v>1561400.0000000002</v>
      </c>
      <c r="R5" s="195">
        <f>'RES Calculations &amp; References '!AP35</f>
        <v>58600</v>
      </c>
      <c r="S5" s="195">
        <f>'RES Calculations &amp; References '!AQ35</f>
        <v>249200.00000000003</v>
      </c>
      <c r="T5" s="195">
        <f>'RES Calculations &amp; References '!AR35</f>
        <v>164600</v>
      </c>
      <c r="U5" s="195">
        <f>'RES Calculations &amp; References '!AS35</f>
        <v>695800</v>
      </c>
      <c r="V5" s="195">
        <f>'RES Calculations &amp; References '!AT35</f>
        <v>598800</v>
      </c>
      <c r="W5" s="195">
        <f>'RES Calculations &amp; References '!AU35</f>
        <v>12655000</v>
      </c>
      <c r="X5" s="195"/>
      <c r="Y5" s="195"/>
      <c r="Z5" s="200"/>
    </row>
    <row r="6" spans="1:27">
      <c r="A6" s="470"/>
      <c r="B6" s="465"/>
      <c r="C6" s="92" t="s">
        <v>226</v>
      </c>
      <c r="D6" s="195">
        <f>'RES Calculations &amp; References '!AB36</f>
        <v>11420</v>
      </c>
      <c r="E6" s="195">
        <f>'RES Calculations &amp; References '!AC36</f>
        <v>100</v>
      </c>
      <c r="F6" s="195">
        <f>'RES Calculations &amp; References '!AD36</f>
        <v>322020</v>
      </c>
      <c r="G6" s="195">
        <f>'RES Calculations &amp; References '!AE36</f>
        <v>34640</v>
      </c>
      <c r="H6" s="195">
        <f>'RES Calculations &amp; References '!AF36</f>
        <v>141020</v>
      </c>
      <c r="I6" s="195">
        <f>'RES Calculations &amp; References '!AG36</f>
        <v>64620.000000000007</v>
      </c>
      <c r="J6" s="195">
        <f>'RES Calculations &amp; References '!AH36</f>
        <v>92760</v>
      </c>
      <c r="K6" s="195">
        <f>'RES Calculations &amp; References '!AI36</f>
        <v>37440</v>
      </c>
      <c r="L6" s="195">
        <f>'RES Calculations &amp; References '!AJ36</f>
        <v>16200</v>
      </c>
      <c r="M6" s="195">
        <f>'RES Calculations &amp; References '!AK36</f>
        <v>38320</v>
      </c>
      <c r="N6" s="195">
        <f>'RES Calculations &amp; References '!AL36</f>
        <v>84220</v>
      </c>
      <c r="O6" s="195">
        <f>'RES Calculations &amp; References '!AM36</f>
        <v>34160.000000000007</v>
      </c>
      <c r="P6" s="195">
        <f>'RES Calculations &amp; References '!AN36</f>
        <v>55740</v>
      </c>
      <c r="Q6" s="195">
        <f>'RES Calculations &amp; References '!AO36</f>
        <v>156140.00000000003</v>
      </c>
      <c r="R6" s="195">
        <f>'RES Calculations &amp; References '!AP36</f>
        <v>5860</v>
      </c>
      <c r="S6" s="195">
        <f>'RES Calculations &amp; References '!AQ36</f>
        <v>24920</v>
      </c>
      <c r="T6" s="195">
        <f>'RES Calculations &amp; References '!AR36</f>
        <v>16460</v>
      </c>
      <c r="U6" s="195">
        <f>'RES Calculations &amp; References '!AS36</f>
        <v>69580</v>
      </c>
      <c r="V6" s="195">
        <f>'RES Calculations &amp; References '!AT36</f>
        <v>59880</v>
      </c>
      <c r="W6" s="195">
        <f>'RES Calculations &amp; References '!AU36</f>
        <v>1265500</v>
      </c>
      <c r="X6" s="195"/>
      <c r="Y6" s="195"/>
      <c r="Z6" s="200"/>
    </row>
    <row r="7" spans="1:27">
      <c r="A7" s="470"/>
      <c r="B7" s="465"/>
      <c r="C7" s="92" t="s">
        <v>225</v>
      </c>
      <c r="D7" s="195">
        <f>'RES Calculations &amp; References '!AB37</f>
        <v>151886</v>
      </c>
      <c r="E7" s="195">
        <f>'RES Calculations &amp; References '!AC37</f>
        <v>1330</v>
      </c>
      <c r="F7" s="195">
        <f>'RES Calculations &amp; References '!AD37</f>
        <v>4551127.1585887624</v>
      </c>
      <c r="G7" s="195">
        <f>'RES Calculations &amp; References '!AE37</f>
        <v>460712</v>
      </c>
      <c r="H7" s="195">
        <f>'RES Calculations &amp; References '!AF37</f>
        <v>1993043.7609595284</v>
      </c>
      <c r="I7" s="195">
        <f>'RES Calculations &amp; References '!AG37</f>
        <v>913278.17212597316</v>
      </c>
      <c r="J7" s="195">
        <f>'RES Calculations &amp; References '!AH37</f>
        <v>1310982.4086413691</v>
      </c>
      <c r="K7" s="195">
        <f>'RES Calculations &amp; References '!AI37</f>
        <v>529141.67075822398</v>
      </c>
      <c r="L7" s="195">
        <f>'RES Calculations &amp; References '!AJ37</f>
        <v>215460</v>
      </c>
      <c r="M7" s="195">
        <f>'RES Calculations &amp; References '!AK37</f>
        <v>541578.7613102335</v>
      </c>
      <c r="N7" s="195">
        <f>'RES Calculations &amp; References '!AL37</f>
        <v>1190286.0980570947</v>
      </c>
      <c r="O7" s="195">
        <f>'RES Calculations &amp; References '!AM37</f>
        <v>454328</v>
      </c>
      <c r="P7" s="195">
        <f>'RES Calculations &amp; References '!AN37</f>
        <v>787776.62201024045</v>
      </c>
      <c r="Q7" s="195">
        <f>'RES Calculations &amp; References '!AO37</f>
        <v>2206735.5895349649</v>
      </c>
      <c r="R7" s="195">
        <f>'RES Calculations &amp; References '!AP37</f>
        <v>77938</v>
      </c>
      <c r="S7" s="195">
        <f>'RES Calculations &amp; References '!AQ37</f>
        <v>352195.79154099734</v>
      </c>
      <c r="T7" s="195">
        <f>'RES Calculations &amp; References '!AR37</f>
        <v>218918</v>
      </c>
      <c r="U7" s="195">
        <f>'RES Calculations &amp; References '!AS37</f>
        <v>983378.13705548132</v>
      </c>
      <c r="V7" s="195">
        <f>'RES Calculations &amp; References '!AT37</f>
        <v>846287.47983446717</v>
      </c>
      <c r="W7" s="195">
        <f>'RES Calculations &amp; References '!AU37</f>
        <v>17786383.650417335</v>
      </c>
      <c r="X7" s="195"/>
      <c r="Y7" s="195"/>
      <c r="Z7" s="200"/>
    </row>
    <row r="8" spans="1:27">
      <c r="A8" s="470"/>
      <c r="B8" s="465"/>
      <c r="C8" s="92" t="s">
        <v>224</v>
      </c>
      <c r="D8" s="195">
        <f>'RES Calculations &amp; References '!AB38</f>
        <v>99353.999999999985</v>
      </c>
      <c r="E8" s="195">
        <f>'RES Calculations &amp; References '!AC38</f>
        <v>870</v>
      </c>
      <c r="F8" s="195">
        <f>'RES Calculations &amp; References '!AD38</f>
        <v>2879816.932033387</v>
      </c>
      <c r="G8" s="195">
        <f>'RES Calculations &amp; References '!AE38</f>
        <v>301368</v>
      </c>
      <c r="H8" s="195">
        <f>'RES Calculations &amp; References '!AF38</f>
        <v>1261138.3881602022</v>
      </c>
      <c r="I8" s="195">
        <f>'RES Calculations &amp; References '!AG38</f>
        <v>577895.06908886868</v>
      </c>
      <c r="J8" s="195">
        <f>'RES Calculations &amp; References '!AH38</f>
        <v>829550.39629655611</v>
      </c>
      <c r="K8" s="195">
        <f>'RES Calculations &amp; References '!AI38</f>
        <v>334824.99824647541</v>
      </c>
      <c r="L8" s="195">
        <f>'RES Calculations &amp; References '!AJ38</f>
        <v>140940</v>
      </c>
      <c r="M8" s="195">
        <f>'RES Calculations &amp; References '!AK38</f>
        <v>342694.81658132846</v>
      </c>
      <c r="N8" s="195">
        <f>'RES Calculations &amp; References '!AL38</f>
        <v>753177.3865469594</v>
      </c>
      <c r="O8" s="195">
        <f>'RES Calculations &amp; References '!AM38</f>
        <v>297192</v>
      </c>
      <c r="P8" s="195">
        <f>'RES Calculations &amp; References '!AN38</f>
        <v>498481.44770989695</v>
      </c>
      <c r="Q8" s="195">
        <f>'RES Calculations &amp; References '!AO38</f>
        <v>1396356.1759135865</v>
      </c>
      <c r="R8" s="195">
        <f>'RES Calculations &amp; References '!AP38</f>
        <v>50982</v>
      </c>
      <c r="S8" s="195">
        <f>'RES Calculations &amp; References '!AQ38</f>
        <v>222858.94648242969</v>
      </c>
      <c r="T8" s="195">
        <f>'RES Calculations &amp; References '!AR38</f>
        <v>143202</v>
      </c>
      <c r="U8" s="195">
        <f>'RES Calculations &amp; References '!AS38</f>
        <v>622252.22697622224</v>
      </c>
      <c r="V8" s="195">
        <f>'RES Calculations &amp; References '!AT38</f>
        <v>535505.36578522832</v>
      </c>
      <c r="W8" s="195">
        <f>'RES Calculations &amp; References '!AU38</f>
        <v>11288460.149821138</v>
      </c>
      <c r="X8" s="195"/>
      <c r="Y8" s="195"/>
      <c r="Z8" s="200"/>
    </row>
    <row r="9" spans="1:27">
      <c r="A9" s="470"/>
      <c r="B9" s="465"/>
      <c r="C9" s="92" t="s">
        <v>223</v>
      </c>
      <c r="D9" s="195">
        <f>'RES Calculations &amp; References '!AB39</f>
        <v>4996.25</v>
      </c>
      <c r="E9" s="195">
        <f>'RES Calculations &amp; References '!AC39</f>
        <v>43.75</v>
      </c>
      <c r="F9" s="195">
        <f>'RES Calculations &amp; References '!AD39</f>
        <v>140883.75</v>
      </c>
      <c r="G9" s="195">
        <f>'RES Calculations &amp; References '!AE39</f>
        <v>15155.000000000002</v>
      </c>
      <c r="H9" s="195">
        <f>'RES Calculations &amp; References '!AF39</f>
        <v>61696.25</v>
      </c>
      <c r="I9" s="195">
        <f>'RES Calculations &amp; References '!AG39</f>
        <v>28271.250000000004</v>
      </c>
      <c r="J9" s="195">
        <f>'RES Calculations &amp; References '!AH39</f>
        <v>40582.5</v>
      </c>
      <c r="K9" s="195">
        <f>'RES Calculations &amp; References '!AI39</f>
        <v>16380.000000000002</v>
      </c>
      <c r="L9" s="195">
        <f>'RES Calculations &amp; References '!AJ39</f>
        <v>7087.5</v>
      </c>
      <c r="M9" s="195">
        <f>'RES Calculations &amp; References '!AK39</f>
        <v>16765.000000000004</v>
      </c>
      <c r="N9" s="195">
        <f>'RES Calculations &amp; References '!AL39</f>
        <v>36846.25</v>
      </c>
      <c r="O9" s="195">
        <f>'RES Calculations &amp; References '!AM39</f>
        <v>14945.000000000002</v>
      </c>
      <c r="P9" s="195">
        <f>'RES Calculations &amp; References '!AN39</f>
        <v>24386.25</v>
      </c>
      <c r="Q9" s="195">
        <f>'RES Calculations &amp; References '!AO39</f>
        <v>68311.25</v>
      </c>
      <c r="R9" s="195">
        <f>'RES Calculations &amp; References '!AP39</f>
        <v>2563.75</v>
      </c>
      <c r="S9" s="195">
        <f>'RES Calculations &amp; References '!AQ39</f>
        <v>10902.5</v>
      </c>
      <c r="T9" s="195">
        <f>'RES Calculations &amp; References '!AR39</f>
        <v>7201.2500000000009</v>
      </c>
      <c r="U9" s="195">
        <f>'RES Calculations &amp; References '!AS39</f>
        <v>30441.250000000004</v>
      </c>
      <c r="V9" s="195">
        <f>'RES Calculations &amp; References '!AT39</f>
        <v>26197.500000000004</v>
      </c>
      <c r="W9" s="195">
        <f>'RES Calculations &amp; References '!AU39</f>
        <v>553656.25</v>
      </c>
      <c r="X9" s="195">
        <f>SUM(W5:W9)</f>
        <v>43549000.050238475</v>
      </c>
      <c r="Y9" s="195">
        <f>X9/63275</f>
        <v>688.24970446840734</v>
      </c>
      <c r="Z9" s="194">
        <f>X9/$X$33</f>
        <v>9.8300437078034028E-2</v>
      </c>
      <c r="AA9" s="27"/>
    </row>
    <row r="10" spans="1:27">
      <c r="A10" s="470"/>
      <c r="B10" s="466" t="s">
        <v>222</v>
      </c>
      <c r="C10" s="197" t="s">
        <v>221</v>
      </c>
      <c r="D10" s="191">
        <f>'RES Calculations &amp; References '!AB40</f>
        <v>40905.299041235296</v>
      </c>
      <c r="E10" s="191">
        <f>'RES Calculations &amp; References '!AC40</f>
        <v>358.19000911764709</v>
      </c>
      <c r="F10" s="191">
        <f>'RES Calculations &amp; References '!AD40</f>
        <v>1153443.4673606472</v>
      </c>
      <c r="G10" s="191">
        <f>'RES Calculations &amp; References '!AE40</f>
        <v>124077.01915835295</v>
      </c>
      <c r="H10" s="191">
        <f>'RES Calculations &amp; References '!AF40</f>
        <v>505119.55085770588</v>
      </c>
      <c r="I10" s="191">
        <f>'RES Calculations &amp; References '!AG40</f>
        <v>231462.38389182353</v>
      </c>
      <c r="J10" s="191">
        <f>'RES Calculations &amp; References '!AH40</f>
        <v>332257.05245752941</v>
      </c>
      <c r="K10" s="191">
        <f>'RES Calculations &amp; References '!AI40</f>
        <v>134106.33941364707</v>
      </c>
      <c r="L10" s="191">
        <f>'RES Calculations &amp; References '!AJ40</f>
        <v>58026.781477058823</v>
      </c>
      <c r="M10" s="191">
        <f>'RES Calculations &amp; References '!AK40</f>
        <v>137258.41149388236</v>
      </c>
      <c r="N10" s="191">
        <f>'RES Calculations &amp; References '!AL40</f>
        <v>301667.62567888235</v>
      </c>
      <c r="O10" s="191">
        <f>'RES Calculations &amp; References '!AM40</f>
        <v>122357.70711458822</v>
      </c>
      <c r="P10" s="191">
        <f>'RES Calculations &amp; References '!AN40</f>
        <v>199655.11108217647</v>
      </c>
      <c r="Q10" s="191">
        <f>'RES Calculations &amp; References '!AO40</f>
        <v>559277.88023629412</v>
      </c>
      <c r="R10" s="191">
        <f>'RES Calculations &amp; References '!AP40</f>
        <v>20989.934534294116</v>
      </c>
      <c r="S10" s="191">
        <f>'RES Calculations &amp; References '!AQ40</f>
        <v>89260.95027211764</v>
      </c>
      <c r="T10" s="191">
        <f>'RES Calculations &amp; References '!AR40</f>
        <v>58958.075500764702</v>
      </c>
      <c r="U10" s="191">
        <f>'RES Calculations &amp; References '!AS40</f>
        <v>249228.60834405886</v>
      </c>
      <c r="V10" s="191">
        <f>'RES Calculations &amp; References '!AT40</f>
        <v>214484.17745964706</v>
      </c>
      <c r="W10" s="191">
        <f>'RES Calculations &amp; References '!AU40</f>
        <v>4532894.5653838236</v>
      </c>
      <c r="X10" s="191"/>
      <c r="Y10" s="191"/>
      <c r="Z10" s="196"/>
    </row>
    <row r="11" spans="1:27" ht="24.75" customHeight="1">
      <c r="A11" s="470"/>
      <c r="B11" s="467"/>
      <c r="C11" s="197" t="s">
        <v>220</v>
      </c>
      <c r="D11" s="191">
        <f>'RES Calculations &amp; References '!AB41</f>
        <v>126238.80085714285</v>
      </c>
      <c r="E11" s="191">
        <f>'RES Calculations &amp; References '!AC41</f>
        <v>1105.4185714285713</v>
      </c>
      <c r="F11" s="191">
        <f>'RES Calculations &amp; References '!AD41</f>
        <v>3559668.8837142852</v>
      </c>
      <c r="G11" s="191">
        <f>'RES Calculations &amp; References '!AE41</f>
        <v>382916.9931428571</v>
      </c>
      <c r="H11" s="191">
        <f>'RES Calculations &amp; References '!AF41</f>
        <v>1558861.2694285715</v>
      </c>
      <c r="I11" s="191">
        <f>'RES Calculations &amp; References '!AG41</f>
        <v>714321.48085714283</v>
      </c>
      <c r="J11" s="191">
        <f>'RES Calculations &amp; References '!AH41</f>
        <v>1025386.2668571428</v>
      </c>
      <c r="K11" s="191">
        <f>'RES Calculations &amp; References '!AI41</f>
        <v>413868.71314285707</v>
      </c>
      <c r="L11" s="191">
        <f>'RES Calculations &amp; References '!AJ41</f>
        <v>179077.80857142858</v>
      </c>
      <c r="M11" s="191">
        <f>'RES Calculations &amp; References '!AK41</f>
        <v>423596.39657142852</v>
      </c>
      <c r="N11" s="191">
        <f>'RES Calculations &amp; References '!AL41</f>
        <v>930983.52085714275</v>
      </c>
      <c r="O11" s="191">
        <f>'RES Calculations &amp; References '!AM41</f>
        <v>377610.984</v>
      </c>
      <c r="P11" s="191">
        <f>'RES Calculations &amp; References '!AN41</f>
        <v>616160.31171428564</v>
      </c>
      <c r="Q11" s="191">
        <f>'RES Calculations &amp; References '!AO41</f>
        <v>1726000.5574285714</v>
      </c>
      <c r="R11" s="191">
        <f>'RES Calculations &amp; References '!AP41</f>
        <v>64777.528285714281</v>
      </c>
      <c r="S11" s="191">
        <f>'RES Calculations &amp; References '!AQ41</f>
        <v>275470.30799999996</v>
      </c>
      <c r="T11" s="191">
        <f>'RES Calculations &amp; References '!AR41</f>
        <v>181951.89685714283</v>
      </c>
      <c r="U11" s="191">
        <f>'RES Calculations &amp; References '!AS41</f>
        <v>769150.24199999997</v>
      </c>
      <c r="V11" s="191">
        <f>'RES Calculations &amp; References '!AT41</f>
        <v>661924.64057142846</v>
      </c>
      <c r="W11" s="191">
        <f>'RES Calculations &amp; References '!AU41</f>
        <v>13989072.02142857</v>
      </c>
      <c r="X11" s="191"/>
      <c r="Y11" s="191"/>
      <c r="Z11" s="196"/>
    </row>
    <row r="12" spans="1:27">
      <c r="A12" s="470"/>
      <c r="B12" s="467"/>
      <c r="C12" s="197" t="s">
        <v>219</v>
      </c>
      <c r="D12" s="191">
        <f>'RES Calculations &amp; References '!AB42</f>
        <v>51389.999999999993</v>
      </c>
      <c r="E12" s="191">
        <f>'RES Calculations &amp; References '!AC42</f>
        <v>450</v>
      </c>
      <c r="F12" s="191">
        <f>'RES Calculations &amp; References '!AD42</f>
        <v>1449090</v>
      </c>
      <c r="G12" s="191">
        <f>'RES Calculations &amp; References '!AE42</f>
        <v>155880</v>
      </c>
      <c r="H12" s="191">
        <f>'RES Calculations &amp; References '!AF42</f>
        <v>634589.99999999988</v>
      </c>
      <c r="I12" s="191">
        <f>'RES Calculations &amp; References '!AG42</f>
        <v>290790</v>
      </c>
      <c r="J12" s="191">
        <f>'RES Calculations &amp; References '!AH42</f>
        <v>417419.99999999994</v>
      </c>
      <c r="K12" s="191">
        <f>'RES Calculations &amp; References '!AI42</f>
        <v>168480</v>
      </c>
      <c r="L12" s="191">
        <f>'RES Calculations &amp; References '!AJ42</f>
        <v>72900</v>
      </c>
      <c r="M12" s="191">
        <f>'RES Calculations &amp; References '!AK42</f>
        <v>172440</v>
      </c>
      <c r="N12" s="191">
        <f>'RES Calculations &amp; References '!AL42</f>
        <v>378990</v>
      </c>
      <c r="O12" s="191">
        <f>'RES Calculations &amp; References '!AM42</f>
        <v>153720</v>
      </c>
      <c r="P12" s="191">
        <f>'RES Calculations &amp; References '!AN42</f>
        <v>250830</v>
      </c>
      <c r="Q12" s="191">
        <f>'RES Calculations &amp; References '!AO42</f>
        <v>702630</v>
      </c>
      <c r="R12" s="191">
        <f>'RES Calculations &amp; References '!AP42</f>
        <v>26369.999999999996</v>
      </c>
      <c r="S12" s="191">
        <f>'RES Calculations &amp; References '!AQ42</f>
        <v>112140</v>
      </c>
      <c r="T12" s="191">
        <f>'RES Calculations &amp; References '!AR42</f>
        <v>74070</v>
      </c>
      <c r="U12" s="191">
        <f>'RES Calculations &amp; References '!AS42</f>
        <v>313110</v>
      </c>
      <c r="V12" s="191">
        <f>'RES Calculations &amp; References '!AT42</f>
        <v>269460</v>
      </c>
      <c r="W12" s="191">
        <f>'RES Calculations &amp; References '!AU42</f>
        <v>5694750</v>
      </c>
      <c r="X12" s="191">
        <f>SUM(W10:W12)</f>
        <v>24216716.586812392</v>
      </c>
      <c r="Y12" s="191">
        <f>X12/63275</f>
        <v>382.72171610924363</v>
      </c>
      <c r="Z12" s="196">
        <f>X12/$X$33</f>
        <v>5.4662881405597247E-2</v>
      </c>
    </row>
    <row r="13" spans="1:27">
      <c r="A13" s="470"/>
      <c r="B13" s="199" t="s">
        <v>17</v>
      </c>
      <c r="C13" s="92" t="s">
        <v>218</v>
      </c>
      <c r="D13" s="195">
        <f>'RES Calculations &amp; References '!AB43</f>
        <v>818181.46090747847</v>
      </c>
      <c r="E13" s="195">
        <f>'RES Calculations &amp; References '!AC43</f>
        <v>7164.4611287870275</v>
      </c>
      <c r="F13" s="195">
        <f>'RES Calculations &amp; References '!AD43</f>
        <v>6440400.0000000009</v>
      </c>
      <c r="G13" s="195">
        <f>'RES Calculations &amp; References '!AE43</f>
        <v>2481769.3350118259</v>
      </c>
      <c r="H13" s="195">
        <f>'RES Calculations &amp; References '!AF43</f>
        <v>2820400</v>
      </c>
      <c r="I13" s="195">
        <f>'RES Calculations &amp; References '!AG43</f>
        <v>1292400</v>
      </c>
      <c r="J13" s="195">
        <f>'RES Calculations &amp; References '!AH43</f>
        <v>1855200</v>
      </c>
      <c r="K13" s="195">
        <f>'RES Calculations &amp; References '!AI43</f>
        <v>748800.00000000012</v>
      </c>
      <c r="L13" s="195">
        <f>'RES Calculations &amp; References '!AJ43</f>
        <v>1160642.7028634984</v>
      </c>
      <c r="M13" s="195">
        <f>'RES Calculations &amp; References '!AK43</f>
        <v>766400.00000000012</v>
      </c>
      <c r="N13" s="195">
        <f>'RES Calculations &amp; References '!AL43</f>
        <v>1684400</v>
      </c>
      <c r="O13" s="195">
        <f>'RES Calculations &amp; References '!AM43</f>
        <v>2447379.9215936488</v>
      </c>
      <c r="P13" s="195">
        <f>'RES Calculations &amp; References '!AN43</f>
        <v>1114800</v>
      </c>
      <c r="Q13" s="195">
        <f>'RES Calculations &amp; References '!AO43</f>
        <v>3122800</v>
      </c>
      <c r="R13" s="195">
        <f>'RES Calculations &amp; References '!AP43</f>
        <v>419837.42214691982</v>
      </c>
      <c r="S13" s="195">
        <f>'RES Calculations &amp; References '!AQ43</f>
        <v>498400.00000000006</v>
      </c>
      <c r="T13" s="195">
        <f>'RES Calculations &amp; References '!AR43</f>
        <v>1179270.3017983446</v>
      </c>
      <c r="U13" s="195">
        <f>'RES Calculations &amp; References '!AS43</f>
        <v>1391600.0000000002</v>
      </c>
      <c r="V13" s="195">
        <f>'RES Calculations &amp; References '!AT43</f>
        <v>1197600.0000000002</v>
      </c>
      <c r="W13" s="195">
        <f>'RES Calculations &amp; References '!AU43</f>
        <v>31447445.605450504</v>
      </c>
      <c r="X13" s="195">
        <f>SUM(W13)</f>
        <v>31447445.605450504</v>
      </c>
      <c r="Y13" s="195">
        <f>X13/63275</f>
        <v>496.99637464165158</v>
      </c>
      <c r="Z13" s="194">
        <f>X13/$X$33</f>
        <v>7.098435427764907E-2</v>
      </c>
      <c r="AA13" s="27"/>
    </row>
    <row r="14" spans="1:27">
      <c r="A14" s="470"/>
      <c r="B14" s="466" t="s">
        <v>189</v>
      </c>
      <c r="C14" s="197" t="s">
        <v>217</v>
      </c>
      <c r="D14" s="191">
        <f>'RES Calculations &amp; References '!AB44</f>
        <v>325470</v>
      </c>
      <c r="E14" s="191">
        <f>'RES Calculations &amp; References '!AC44</f>
        <v>2850.0000000000005</v>
      </c>
      <c r="F14" s="191">
        <f>'RES Calculations &amp; References '!AD44</f>
        <v>9177570.0000000019</v>
      </c>
      <c r="G14" s="191">
        <f>'RES Calculations &amp; References '!AE44</f>
        <v>987240.00000000012</v>
      </c>
      <c r="H14" s="191">
        <f>'RES Calculations &amp; References '!AF44</f>
        <v>4019070.0000000005</v>
      </c>
      <c r="I14" s="191">
        <f>'RES Calculations &amp; References '!AG44</f>
        <v>1841670.0000000002</v>
      </c>
      <c r="J14" s="191">
        <f>'RES Calculations &amp; References '!AH44</f>
        <v>2643660.0000000005</v>
      </c>
      <c r="K14" s="191">
        <f>'RES Calculations &amp; References '!AI44</f>
        <v>1067040.0000000002</v>
      </c>
      <c r="L14" s="191">
        <f>'RES Calculations &amp; References '!AJ44</f>
        <v>461700.00000000006</v>
      </c>
      <c r="M14" s="191">
        <f>'RES Calculations &amp; References '!AK44</f>
        <v>1092120.0000000002</v>
      </c>
      <c r="N14" s="191">
        <f>'RES Calculations &amp; References '!AL44</f>
        <v>2400270.0000000005</v>
      </c>
      <c r="O14" s="191">
        <f>'RES Calculations &amp; References '!AM44</f>
        <v>973560.00000000012</v>
      </c>
      <c r="P14" s="191">
        <f>'RES Calculations &amp; References '!AN44</f>
        <v>1588590.0000000002</v>
      </c>
      <c r="Q14" s="191">
        <f>'RES Calculations &amp; References '!AO44</f>
        <v>4449990.0000000009</v>
      </c>
      <c r="R14" s="191">
        <f>'RES Calculations &amp; References '!AP44</f>
        <v>167010.00000000003</v>
      </c>
      <c r="S14" s="191">
        <f>'RES Calculations &amp; References '!AQ44</f>
        <v>710220</v>
      </c>
      <c r="T14" s="191">
        <f>'RES Calculations &amp; References '!AR44</f>
        <v>469110.00000000006</v>
      </c>
      <c r="U14" s="191">
        <f>'RES Calculations &amp; References '!AS44</f>
        <v>1983030.0000000002</v>
      </c>
      <c r="V14" s="191">
        <f>'RES Calculations &amp; References '!AT44</f>
        <v>1706580.0000000002</v>
      </c>
      <c r="W14" s="191">
        <f>'RES Calculations &amp; References '!AU44</f>
        <v>36066750.000000007</v>
      </c>
      <c r="X14" s="191"/>
      <c r="Y14" s="191"/>
      <c r="Z14" s="196"/>
    </row>
    <row r="15" spans="1:27">
      <c r="A15" s="470"/>
      <c r="B15" s="467"/>
      <c r="C15" s="197" t="s">
        <v>216</v>
      </c>
      <c r="D15" s="191">
        <f>'RES Calculations &amp; References '!AB45</f>
        <v>188609.00832652059</v>
      </c>
      <c r="E15" s="191">
        <f>'RES Calculations &amp; References '!AC45</f>
        <v>1651.5674984809159</v>
      </c>
      <c r="F15" s="191">
        <f>'RES Calculations &amp; References '!AD45</f>
        <v>5318377.6586082457</v>
      </c>
      <c r="G15" s="191">
        <f>'RES Calculations &amp; References '!AE45</f>
        <v>572102.98147378932</v>
      </c>
      <c r="H15" s="191">
        <f>'RES Calculations &amp; References '!AF45</f>
        <v>2329040.4863577876</v>
      </c>
      <c r="I15" s="191">
        <f>'RES Calculations &amp; References '!AG45</f>
        <v>1067242.9175183678</v>
      </c>
      <c r="J15" s="191">
        <f>'RES Calculations &amp; References '!AH45</f>
        <v>1531994.0115908976</v>
      </c>
      <c r="K15" s="191">
        <f>'RES Calculations &amp; References '!AI45</f>
        <v>618346.8714312549</v>
      </c>
      <c r="L15" s="191">
        <f>'RES Calculations &amp; References '!AJ45</f>
        <v>267553.93475390837</v>
      </c>
      <c r="M15" s="191">
        <f>'RES Calculations &amp; References '!AK45</f>
        <v>632880.66541788704</v>
      </c>
      <c r="N15" s="191">
        <f>'RES Calculations &amp; References '!AL45</f>
        <v>1390950.1472206274</v>
      </c>
      <c r="O15" s="191">
        <f>'RES Calculations &amp; References '!AM45</f>
        <v>564175.45748108078</v>
      </c>
      <c r="P15" s="191">
        <f>'RES Calculations &amp; References '!AN45</f>
        <v>920583.7236532626</v>
      </c>
      <c r="Q15" s="191">
        <f>'RES Calculations &amp; References '!AO45</f>
        <v>2578757.4921281021</v>
      </c>
      <c r="R15" s="191">
        <f>'RES Calculations &amp; References '!AP45</f>
        <v>96781.855410981676</v>
      </c>
      <c r="S15" s="191">
        <f>'RES Calculations &amp; References '!AQ45</f>
        <v>411570.62062144425</v>
      </c>
      <c r="T15" s="191">
        <f>'RES Calculations &amp; References '!AR45</f>
        <v>271848.01024995872</v>
      </c>
      <c r="U15" s="191">
        <f>'RES Calculations &amp; References '!AS45</f>
        <v>1149160.6654430213</v>
      </c>
      <c r="V15" s="191">
        <f>'RES Calculations &amp; References '!AT45</f>
        <v>988958.61809037253</v>
      </c>
      <c r="W15" s="191">
        <f>'RES Calculations &amp; References '!AU45</f>
        <v>20900586.693275992</v>
      </c>
      <c r="X15" s="191"/>
      <c r="Y15" s="191"/>
      <c r="Z15" s="196"/>
    </row>
    <row r="16" spans="1:27">
      <c r="A16" s="470"/>
      <c r="B16" s="467"/>
      <c r="C16" s="197" t="s">
        <v>215</v>
      </c>
      <c r="D16" s="191">
        <f>'RES Calculations &amp; References '!AB46</f>
        <v>50199.250874999991</v>
      </c>
      <c r="E16" s="191">
        <f>'RES Calculations &amp; References '!AC46</f>
        <v>439.573125</v>
      </c>
      <c r="F16" s="191">
        <f>'RES Calculations &amp; References '!AD46</f>
        <v>1415513.3771249999</v>
      </c>
      <c r="G16" s="191">
        <f>'RES Calculations &amp; References '!AE46</f>
        <v>152268.13049999997</v>
      </c>
      <c r="H16" s="191">
        <f>'RES Calculations &amp; References '!AF46</f>
        <v>619886.02087499993</v>
      </c>
      <c r="I16" s="191">
        <f>'RES Calculations &amp; References '!AG46</f>
        <v>284052.15337499994</v>
      </c>
      <c r="J16" s="191">
        <f>'RES Calculations &amp; References '!AH46</f>
        <v>407748.03074999992</v>
      </c>
      <c r="K16" s="191">
        <f>'RES Calculations &amp; References '!AI46</f>
        <v>164576.17799999996</v>
      </c>
      <c r="L16" s="191">
        <f>'RES Calculations &amp; References '!AJ46</f>
        <v>71210.846249999988</v>
      </c>
      <c r="M16" s="191">
        <f>'RES Calculations &amp; References '!AK46</f>
        <v>168444.4215</v>
      </c>
      <c r="N16" s="191">
        <f>'RES Calculations &amp; References '!AL46</f>
        <v>370208.48587499995</v>
      </c>
      <c r="O16" s="191">
        <f>'RES Calculations &amp; References '!AM46</f>
        <v>150158.17949999997</v>
      </c>
      <c r="P16" s="191">
        <f>'RES Calculations &amp; References '!AN46</f>
        <v>245018.05987499998</v>
      </c>
      <c r="Q16" s="191">
        <f>'RES Calculations &amp; References '!AO46</f>
        <v>686349.4773749999</v>
      </c>
      <c r="R16" s="191">
        <f>'RES Calculations &amp; References '!AP46</f>
        <v>25758.985124999999</v>
      </c>
      <c r="S16" s="191">
        <f>'RES Calculations &amp; References '!AQ46</f>
        <v>109541.62274999999</v>
      </c>
      <c r="T16" s="191">
        <f>'RES Calculations &amp; References '!AR46</f>
        <v>72353.736374999993</v>
      </c>
      <c r="U16" s="191">
        <f>'RES Calculations &amp; References '!AS46</f>
        <v>305854.98037499998</v>
      </c>
      <c r="V16" s="191">
        <f>'RES Calculations &amp; References '!AT46</f>
        <v>263216.38724999997</v>
      </c>
      <c r="W16" s="191">
        <f>'RES Calculations &amp; References '!AU46</f>
        <v>5562797.8968749996</v>
      </c>
      <c r="X16" s="191"/>
      <c r="Y16" s="191"/>
      <c r="Z16" s="196"/>
    </row>
    <row r="17" spans="1:26">
      <c r="A17" s="470"/>
      <c r="B17" s="467"/>
      <c r="C17" s="197" t="s">
        <v>214</v>
      </c>
      <c r="D17" s="191">
        <f>'RES Calculations &amp; References '!AB47</f>
        <v>120709.40000000001</v>
      </c>
      <c r="E17" s="191">
        <f>'RES Calculations &amp; References '!AC47</f>
        <v>1057</v>
      </c>
      <c r="F17" s="191">
        <f>'RES Calculations &amp; References '!AD47</f>
        <v>2254140</v>
      </c>
      <c r="G17" s="191">
        <f>'RES Calculations &amp; References '!AE47</f>
        <v>366144.8</v>
      </c>
      <c r="H17" s="191">
        <f>'RES Calculations &amp; References '!AF47</f>
        <v>987140</v>
      </c>
      <c r="I17" s="191">
        <f>'RES Calculations &amp; References '!AG47</f>
        <v>452340.00000000006</v>
      </c>
      <c r="J17" s="191">
        <f>'RES Calculations &amp; References '!AH47</f>
        <v>649320</v>
      </c>
      <c r="K17" s="191">
        <f>'RES Calculations &amp; References '!AI47</f>
        <v>262080.00000000003</v>
      </c>
      <c r="L17" s="191">
        <f>'RES Calculations &amp; References '!AJ47</f>
        <v>171234</v>
      </c>
      <c r="M17" s="191">
        <f>'RES Calculations &amp; References '!AK47</f>
        <v>268240.00000000006</v>
      </c>
      <c r="N17" s="191">
        <f>'RES Calculations &amp; References '!AL47</f>
        <v>589540</v>
      </c>
      <c r="O17" s="191">
        <f>'RES Calculations &amp; References '!AM47</f>
        <v>361071.2</v>
      </c>
      <c r="P17" s="191">
        <f>'RES Calculations &amp; References '!AN47</f>
        <v>390180</v>
      </c>
      <c r="Q17" s="191">
        <f>'RES Calculations &amp; References '!AO47</f>
        <v>1092980</v>
      </c>
      <c r="R17" s="191">
        <f>'RES Calculations &amp; References '!AP47</f>
        <v>61940.200000000004</v>
      </c>
      <c r="S17" s="191">
        <f>'RES Calculations &amp; References '!AQ47</f>
        <v>174440</v>
      </c>
      <c r="T17" s="191">
        <f>'RES Calculations &amp; References '!AR47</f>
        <v>173982.19999999998</v>
      </c>
      <c r="U17" s="191">
        <f>'RES Calculations &amp; References '!AS47</f>
        <v>487060.00000000006</v>
      </c>
      <c r="V17" s="191">
        <f>'RES Calculations &amp; References '!AT47</f>
        <v>419160.00000000006</v>
      </c>
      <c r="W17" s="191">
        <f>'RES Calculations &amp; References '!AU47</f>
        <v>9282758.8000000007</v>
      </c>
      <c r="X17" s="191"/>
      <c r="Y17" s="191"/>
      <c r="Z17" s="196"/>
    </row>
    <row r="18" spans="1:26">
      <c r="A18" s="470"/>
      <c r="B18" s="467"/>
      <c r="C18" s="197" t="s">
        <v>213</v>
      </c>
      <c r="D18" s="191">
        <f>'RES Calculations &amp; References '!AB48</f>
        <v>86221</v>
      </c>
      <c r="E18" s="191">
        <f>'RES Calculations &amp; References '!AC48</f>
        <v>755</v>
      </c>
      <c r="F18" s="191">
        <f>'RES Calculations &amp; References '!AD48</f>
        <v>1610100.0000000002</v>
      </c>
      <c r="G18" s="191">
        <f>'RES Calculations &amp; References '!AE48</f>
        <v>261531.99999999997</v>
      </c>
      <c r="H18" s="191">
        <f>'RES Calculations &amp; References '!AF48</f>
        <v>705100</v>
      </c>
      <c r="I18" s="191">
        <f>'RES Calculations &amp; References '!AG48</f>
        <v>323100</v>
      </c>
      <c r="J18" s="191">
        <f>'RES Calculations &amp; References '!AH48</f>
        <v>463800</v>
      </c>
      <c r="K18" s="191">
        <f>'RES Calculations &amp; References '!AI48</f>
        <v>187200.00000000003</v>
      </c>
      <c r="L18" s="191">
        <f>'RES Calculations &amp; References '!AJ48</f>
        <v>122310</v>
      </c>
      <c r="M18" s="191">
        <f>'RES Calculations &amp; References '!AK48</f>
        <v>191600.00000000003</v>
      </c>
      <c r="N18" s="191">
        <f>'RES Calculations &amp; References '!AL48</f>
        <v>421100</v>
      </c>
      <c r="O18" s="191">
        <f>'RES Calculations &amp; References '!AM48</f>
        <v>257908.00000000003</v>
      </c>
      <c r="P18" s="191">
        <f>'RES Calculations &amp; References '!AN48</f>
        <v>278700</v>
      </c>
      <c r="Q18" s="191">
        <f>'RES Calculations &amp; References '!AO48</f>
        <v>780700</v>
      </c>
      <c r="R18" s="191">
        <f>'RES Calculations &amp; References '!AP48</f>
        <v>44243</v>
      </c>
      <c r="S18" s="191">
        <f>'RES Calculations &amp; References '!AQ48</f>
        <v>124600.00000000001</v>
      </c>
      <c r="T18" s="191">
        <f>'RES Calculations &amp; References '!AR48</f>
        <v>124273</v>
      </c>
      <c r="U18" s="191">
        <f>'RES Calculations &amp; References '!AS48</f>
        <v>347900.00000000006</v>
      </c>
      <c r="V18" s="191">
        <f>'RES Calculations &amp; References '!AT48</f>
        <v>299400.00000000006</v>
      </c>
      <c r="W18" s="191">
        <f>'RES Calculations &amp; References '!AU48</f>
        <v>6630542</v>
      </c>
      <c r="X18" s="191"/>
      <c r="Y18" s="191"/>
      <c r="Z18" s="196"/>
    </row>
    <row r="19" spans="1:26">
      <c r="A19" s="470"/>
      <c r="B19" s="467"/>
      <c r="C19" s="197" t="s">
        <v>212</v>
      </c>
      <c r="D19" s="191">
        <f>'RES Calculations &amp; References '!AB49</f>
        <v>62952.75</v>
      </c>
      <c r="E19" s="191">
        <f>'RES Calculations &amp; References '!AC49</f>
        <v>551.25</v>
      </c>
      <c r="F19" s="191">
        <f>'RES Calculations &amp; References '!AD49</f>
        <v>1775135.25</v>
      </c>
      <c r="G19" s="191">
        <f>'RES Calculations &amp; References '!AE49</f>
        <v>190953</v>
      </c>
      <c r="H19" s="191">
        <f>'RES Calculations &amp; References '!AF49</f>
        <v>777372.75</v>
      </c>
      <c r="I19" s="191">
        <f>'RES Calculations &amp; References '!AG49</f>
        <v>356217.75</v>
      </c>
      <c r="J19" s="191">
        <f>'RES Calculations &amp; References '!AH49</f>
        <v>511339.5</v>
      </c>
      <c r="K19" s="191">
        <f>'RES Calculations &amp; References '!AI49</f>
        <v>206388</v>
      </c>
      <c r="L19" s="191">
        <f>'RES Calculations &amp; References '!AJ49</f>
        <v>89302.5</v>
      </c>
      <c r="M19" s="191">
        <f>'RES Calculations &amp; References '!AK49</f>
        <v>211239</v>
      </c>
      <c r="N19" s="191">
        <f>'RES Calculations &amp; References '!AL49</f>
        <v>464262.75</v>
      </c>
      <c r="O19" s="191">
        <f>'RES Calculations &amp; References '!AM49</f>
        <v>188306.99999999997</v>
      </c>
      <c r="P19" s="191">
        <f>'RES Calculations &amp; References '!AN49</f>
        <v>307266.75</v>
      </c>
      <c r="Q19" s="191">
        <f>'RES Calculations &amp; References '!AO49</f>
        <v>860721.74999999988</v>
      </c>
      <c r="R19" s="191">
        <f>'RES Calculations &amp; References '!AP49</f>
        <v>32303.25</v>
      </c>
      <c r="S19" s="191">
        <f>'RES Calculations &amp; References '!AQ49</f>
        <v>137371.5</v>
      </c>
      <c r="T19" s="191">
        <f>'RES Calculations &amp; References '!AR49</f>
        <v>90735.75</v>
      </c>
      <c r="U19" s="191">
        <f>'RES Calculations &amp; References '!AS49</f>
        <v>383559.75</v>
      </c>
      <c r="V19" s="191">
        <f>'RES Calculations &amp; References '!AT49</f>
        <v>330088.5</v>
      </c>
      <c r="W19" s="191">
        <f>'RES Calculations &amp; References '!AU49</f>
        <v>6976068.75</v>
      </c>
      <c r="X19" s="191">
        <f>SUM(W14:W19)</f>
        <v>85419504.140151009</v>
      </c>
      <c r="Y19" s="191">
        <f>X19/63275</f>
        <v>1349.9724083785225</v>
      </c>
      <c r="Z19" s="196">
        <f>X19/$X$33</f>
        <v>0.19281211008930618</v>
      </c>
    </row>
    <row r="20" spans="1:26">
      <c r="A20" s="470"/>
      <c r="B20" s="464" t="s">
        <v>188</v>
      </c>
      <c r="C20" s="92" t="s">
        <v>211</v>
      </c>
      <c r="D20" s="195">
        <f>'RES Calculations &amp; References '!AB50</f>
        <v>57036.73320000001</v>
      </c>
      <c r="E20" s="195">
        <f>'RES Calculations &amp; References '!AC50</f>
        <v>499.44600000000003</v>
      </c>
      <c r="F20" s="195">
        <f>'RES Calculations &amp; References '!AD50</f>
        <v>1608316.0092000002</v>
      </c>
      <c r="G20" s="195">
        <f>'RES Calculations &amp; References '!AE50</f>
        <v>173008.09440000003</v>
      </c>
      <c r="H20" s="195">
        <f>'RES Calculations &amp; References '!AF50</f>
        <v>704318.74919999996</v>
      </c>
      <c r="I20" s="195">
        <f>'RES Calculations &amp; References '!AG50</f>
        <v>322742.00520000001</v>
      </c>
      <c r="J20" s="195">
        <f>'RES Calculations &amp; References '!AH50</f>
        <v>463286.10960000003</v>
      </c>
      <c r="K20" s="195">
        <f>'RES Calculations &amp; References '!AI50</f>
        <v>186992.58240000001</v>
      </c>
      <c r="L20" s="195">
        <f>'RES Calculations &amp; References '!AJ50</f>
        <v>80910.252000000008</v>
      </c>
      <c r="M20" s="195">
        <f>'RES Calculations &amp; References '!AK50</f>
        <v>191387.7072</v>
      </c>
      <c r="N20" s="195">
        <f>'RES Calculations &amp; References '!AL50</f>
        <v>420633.42120000004</v>
      </c>
      <c r="O20" s="195">
        <f>'RES Calculations &amp; References '!AM50</f>
        <v>170610.7536</v>
      </c>
      <c r="P20" s="195">
        <f>'RES Calculations &amp; References '!AN50</f>
        <v>278391.20040000003</v>
      </c>
      <c r="Q20" s="195">
        <f>'RES Calculations &amp; References '!AO50</f>
        <v>779834.98439999996</v>
      </c>
      <c r="R20" s="195">
        <f>'RES Calculations &amp; References '!AP50</f>
        <v>29267.535599999999</v>
      </c>
      <c r="S20" s="195">
        <f>'RES Calculations &amp; References '!AQ50</f>
        <v>124461.94320000001</v>
      </c>
      <c r="T20" s="195">
        <f>'RES Calculations &amp; References '!AR50</f>
        <v>82208.811600000001</v>
      </c>
      <c r="U20" s="195">
        <f>'RES Calculations &amp; References '!AS50</f>
        <v>347514.52679999999</v>
      </c>
      <c r="V20" s="195">
        <f>'RES Calculations &amp; References '!AT50</f>
        <v>299068.2648</v>
      </c>
      <c r="W20" s="195">
        <f>'RES Calculations &amp; References '!AU50</f>
        <v>6320489.1300000018</v>
      </c>
      <c r="X20" s="195"/>
      <c r="Y20" s="195"/>
      <c r="Z20" s="194"/>
    </row>
    <row r="21" spans="1:26">
      <c r="A21" s="470"/>
      <c r="B21" s="465"/>
      <c r="C21" s="92" t="s">
        <v>210</v>
      </c>
      <c r="D21" s="195">
        <f>'RES Calculations &amp; References '!AB51</f>
        <v>375147</v>
      </c>
      <c r="E21" s="195">
        <f>'RES Calculations &amp; References '!AC51</f>
        <v>3285</v>
      </c>
      <c r="F21" s="195">
        <f>'RES Calculations &amp; References '!AD51</f>
        <v>10143629.999999998</v>
      </c>
      <c r="G21" s="195">
        <f>'RES Calculations &amp; References '!AE51</f>
        <v>1137924</v>
      </c>
      <c r="H21" s="195">
        <f>'RES Calculations &amp; References '!AF51</f>
        <v>4442130</v>
      </c>
      <c r="I21" s="195">
        <f>'RES Calculations &amp; References '!AG51</f>
        <v>2035529.9999999998</v>
      </c>
      <c r="J21" s="195">
        <f>'RES Calculations &amp; References '!AH51</f>
        <v>2921940</v>
      </c>
      <c r="K21" s="195">
        <f>'RES Calculations &amp; References '!AI51</f>
        <v>1179359.9999999998</v>
      </c>
      <c r="L21" s="195">
        <f>'RES Calculations &amp; References '!AJ51</f>
        <v>532170</v>
      </c>
      <c r="M21" s="195">
        <f>'RES Calculations &amp; References '!AK51</f>
        <v>1207079.9999999998</v>
      </c>
      <c r="N21" s="195">
        <f>'RES Calculations &amp; References '!AL51</f>
        <v>2652930</v>
      </c>
      <c r="O21" s="195">
        <f>'RES Calculations &amp; References '!AM51</f>
        <v>1122156</v>
      </c>
      <c r="P21" s="195">
        <f>'RES Calculations &amp; References '!AN51</f>
        <v>1755809.9999999998</v>
      </c>
      <c r="Q21" s="195">
        <f>'RES Calculations &amp; References '!AO51</f>
        <v>4918410</v>
      </c>
      <c r="R21" s="195">
        <f>'RES Calculations &amp; References '!AP51</f>
        <v>192501</v>
      </c>
      <c r="S21" s="195">
        <f>'RES Calculations &amp; References '!AQ51</f>
        <v>784979.99999999988</v>
      </c>
      <c r="T21" s="195">
        <f>'RES Calculations &amp; References '!AR51</f>
        <v>540711</v>
      </c>
      <c r="U21" s="195">
        <f>'RES Calculations &amp; References '!AS51</f>
        <v>2191769.9999999995</v>
      </c>
      <c r="V21" s="195">
        <f>'RES Calculations &amp; References '!AT51</f>
        <v>1886219.9999999998</v>
      </c>
      <c r="W21" s="195">
        <f>'RES Calculations &amp; References '!AU51</f>
        <v>40023684</v>
      </c>
      <c r="X21" s="195">
        <f>SUM(W20:W21)</f>
        <v>46344173.130000003</v>
      </c>
      <c r="Y21" s="195">
        <f>X21/63275</f>
        <v>732.42470375345715</v>
      </c>
      <c r="Z21" s="194">
        <f>X21/$X$33</f>
        <v>0.10460980664179759</v>
      </c>
    </row>
    <row r="22" spans="1:26">
      <c r="A22" s="470"/>
      <c r="B22" s="466" t="s">
        <v>209</v>
      </c>
      <c r="C22" s="197" t="s">
        <v>208</v>
      </c>
      <c r="D22" s="191">
        <f>'RES Calculations &amp; References '!AB52</f>
        <v>62524.5</v>
      </c>
      <c r="E22" s="191">
        <f>'RES Calculations &amp; References '!AC52</f>
        <v>547.5</v>
      </c>
      <c r="F22" s="191">
        <f>'RES Calculations &amp; References '!AD52</f>
        <v>1763059.5000000002</v>
      </c>
      <c r="G22" s="191">
        <f>'RES Calculations &amp; References '!AE52</f>
        <v>189654.00000000003</v>
      </c>
      <c r="H22" s="191">
        <f>'RES Calculations &amp; References '!AF52</f>
        <v>772084.5</v>
      </c>
      <c r="I22" s="191">
        <f>'RES Calculations &amp; References '!AG52</f>
        <v>353794.5</v>
      </c>
      <c r="J22" s="191">
        <f>'RES Calculations &amp; References '!AH52</f>
        <v>507861</v>
      </c>
      <c r="K22" s="191">
        <f>'RES Calculations &amp; References '!AI52</f>
        <v>204984.00000000003</v>
      </c>
      <c r="L22" s="191">
        <f>'RES Calculations &amp; References '!AJ52</f>
        <v>88695</v>
      </c>
      <c r="M22" s="191">
        <f>'RES Calculations &amp; References '!AK52</f>
        <v>209802.00000000003</v>
      </c>
      <c r="N22" s="191">
        <f>'RES Calculations &amp; References '!AL52</f>
        <v>461104.5</v>
      </c>
      <c r="O22" s="191">
        <f>'RES Calculations &amp; References '!AM52</f>
        <v>187026</v>
      </c>
      <c r="P22" s="191">
        <f>'RES Calculations &amp; References '!AN52</f>
        <v>305176.5</v>
      </c>
      <c r="Q22" s="191">
        <f>'RES Calculations &amp; References '!AO52</f>
        <v>854866.5</v>
      </c>
      <c r="R22" s="191">
        <f>'RES Calculations &amp; References '!AP52</f>
        <v>32083.5</v>
      </c>
      <c r="S22" s="191">
        <f>'RES Calculations &amp; References '!AQ52</f>
        <v>136437</v>
      </c>
      <c r="T22" s="191">
        <f>'RES Calculations &amp; References '!AR52</f>
        <v>90118.500000000015</v>
      </c>
      <c r="U22" s="191">
        <f>'RES Calculations &amp; References '!AS52</f>
        <v>380950.50000000006</v>
      </c>
      <c r="V22" s="191">
        <f>'RES Calculations &amp; References '!AT52</f>
        <v>327843.00000000006</v>
      </c>
      <c r="W22" s="191">
        <f>'RES Calculations &amp; References '!AU52</f>
        <v>6928612.5</v>
      </c>
      <c r="X22" s="191"/>
      <c r="Y22" s="191"/>
      <c r="Z22" s="196"/>
    </row>
    <row r="23" spans="1:26">
      <c r="A23" s="470"/>
      <c r="B23" s="467"/>
      <c r="C23" s="197" t="s">
        <v>207</v>
      </c>
      <c r="D23" s="191">
        <f>'RES Calculations &amp; References '!AB53</f>
        <v>37346.254999999997</v>
      </c>
      <c r="E23" s="191">
        <f>'RES Calculations &amp; References '!AC53</f>
        <v>327.02500000000003</v>
      </c>
      <c r="F23" s="191">
        <f>'RES Calculations &amp; References '!AD53</f>
        <v>1053085.905</v>
      </c>
      <c r="G23" s="191">
        <f>'RES Calculations &amp; References '!AE53</f>
        <v>113281.46</v>
      </c>
      <c r="H23" s="191">
        <f>'RES Calculations &amp; References '!AF53</f>
        <v>461170.65500000003</v>
      </c>
      <c r="I23" s="191">
        <f>'RES Calculations &amp; References '!AG53</f>
        <v>211323.55500000002</v>
      </c>
      <c r="J23" s="191">
        <f>'RES Calculations &amp; References '!AH53</f>
        <v>303348.39</v>
      </c>
      <c r="K23" s="191">
        <f>'RES Calculations &amp; References '!AI53</f>
        <v>122438.15999999999</v>
      </c>
      <c r="L23" s="191">
        <f>'RES Calculations &amp; References '!AJ53</f>
        <v>52978.049999999996</v>
      </c>
      <c r="M23" s="191">
        <f>'RES Calculations &amp; References '!AK53</f>
        <v>125315.98</v>
      </c>
      <c r="N23" s="191">
        <f>'RES Calculations &amp; References '!AL53</f>
        <v>275420.45500000002</v>
      </c>
      <c r="O23" s="191">
        <f>'RES Calculations &amp; References '!AM53</f>
        <v>111711.74</v>
      </c>
      <c r="P23" s="191">
        <f>'RES Calculations &amp; References '!AN53</f>
        <v>182283.73500000002</v>
      </c>
      <c r="Q23" s="191">
        <f>'RES Calculations &amp; References '!AO53</f>
        <v>510616.83500000002</v>
      </c>
      <c r="R23" s="191">
        <f>'RES Calculations &amp; References '!AP53</f>
        <v>19163.665000000001</v>
      </c>
      <c r="S23" s="191">
        <f>'RES Calculations &amp; References '!AQ53</f>
        <v>81494.63</v>
      </c>
      <c r="T23" s="191">
        <f>'RES Calculations &amp; References '!AR53</f>
        <v>53828.315000000002</v>
      </c>
      <c r="U23" s="191">
        <f>'RES Calculations &amp; References '!AS53</f>
        <v>227543.995</v>
      </c>
      <c r="V23" s="191">
        <f>'RES Calculations &amp; References '!AT53</f>
        <v>195822.57</v>
      </c>
      <c r="W23" s="191">
        <f>'RES Calculations &amp; References '!AU53</f>
        <v>4138501.375</v>
      </c>
      <c r="X23" s="191">
        <f>SUM(W22:W23)</f>
        <v>11067113.875</v>
      </c>
      <c r="Y23" s="191">
        <f>X23/63275</f>
        <v>174.905</v>
      </c>
      <c r="Z23" s="196">
        <f>X23/$X$33</f>
        <v>2.4981104729152499E-2</v>
      </c>
    </row>
    <row r="24" spans="1:26">
      <c r="A24" s="470"/>
      <c r="B24" s="198" t="s">
        <v>206</v>
      </c>
      <c r="C24" s="92" t="s">
        <v>206</v>
      </c>
      <c r="D24" s="195">
        <f>'RES Calculations &amp; References '!AB54</f>
        <v>701837.51249999995</v>
      </c>
      <c r="E24" s="195">
        <f>'RES Calculations &amp; References '!AC54</f>
        <v>6145.6874999999991</v>
      </c>
      <c r="F24" s="195">
        <f>'RES Calculations &amp; References '!AD54</f>
        <v>19790342.887499996</v>
      </c>
      <c r="G24" s="195">
        <f>'RES Calculations &amp; References '!AE54</f>
        <v>2128866.15</v>
      </c>
      <c r="H24" s="195">
        <f>'RES Calculations &amp; References '!AF54</f>
        <v>8666648.5124999993</v>
      </c>
      <c r="I24" s="195">
        <f>'RES Calculations &amp; References '!AG54</f>
        <v>3971343.2624999993</v>
      </c>
      <c r="J24" s="195">
        <f>'RES Calculations &amp; References '!AH54</f>
        <v>5700739.7249999987</v>
      </c>
      <c r="K24" s="195">
        <f>'RES Calculations &amp; References '!AI54</f>
        <v>2300945.3999999994</v>
      </c>
      <c r="L24" s="195">
        <f>'RES Calculations &amp; References '!AJ54</f>
        <v>995601.37499999988</v>
      </c>
      <c r="M24" s="195">
        <f>'RES Calculations &amp; References '!AK54</f>
        <v>2355027.4499999997</v>
      </c>
      <c r="N24" s="195">
        <f>'RES Calculations &amp; References '!AL54</f>
        <v>5175898.0124999993</v>
      </c>
      <c r="O24" s="195">
        <f>'RES Calculations &amp; References '!AM54</f>
        <v>2099366.8499999996</v>
      </c>
      <c r="P24" s="195">
        <f>'RES Calculations &amp; References '!AN54</f>
        <v>3425606.2124999994</v>
      </c>
      <c r="Q24" s="195">
        <f>'RES Calculations &amp; References '!AO54</f>
        <v>9595876.4624999985</v>
      </c>
      <c r="R24" s="195">
        <f>'RES Calculations &amp; References '!AP54</f>
        <v>360137.28749999992</v>
      </c>
      <c r="S24" s="195">
        <f>'RES Calculations &amp; References '!AQ54</f>
        <v>1531505.3249999997</v>
      </c>
      <c r="T24" s="195">
        <f>'RES Calculations &amp; References '!AR54</f>
        <v>1011580.1624999999</v>
      </c>
      <c r="U24" s="195">
        <f>'RES Calculations &amp; References '!AS54</f>
        <v>4276169.3624999998</v>
      </c>
      <c r="V24" s="195">
        <f>'RES Calculations &amp; References '!AT54</f>
        <v>3680037.6749999993</v>
      </c>
      <c r="W24" s="195">
        <f>'RES Calculations &amp; References '!AU54</f>
        <v>77773675.312499985</v>
      </c>
      <c r="X24" s="195">
        <f>SUM(W24)</f>
        <v>77773675.312499985</v>
      </c>
      <c r="Y24" s="195">
        <f>X24/63275</f>
        <v>1229.1374999999998</v>
      </c>
      <c r="Z24" s="194">
        <f>X24/$X$33</f>
        <v>0.17555365835184056</v>
      </c>
    </row>
    <row r="25" spans="1:26">
      <c r="A25" s="470"/>
      <c r="B25" s="466" t="s">
        <v>205</v>
      </c>
      <c r="C25" s="197" t="s">
        <v>204</v>
      </c>
      <c r="D25" s="191">
        <f>'RES Calculations &amp; References '!AB55</f>
        <v>145605</v>
      </c>
      <c r="E25" s="191">
        <f>'RES Calculations &amp; References '!AC55</f>
        <v>1275</v>
      </c>
      <c r="F25" s="191">
        <f>'RES Calculations &amp; References '!AD55</f>
        <v>4105755</v>
      </c>
      <c r="G25" s="191">
        <f>'RES Calculations &amp; References '!AE55</f>
        <v>441660</v>
      </c>
      <c r="H25" s="191">
        <f>'RES Calculations &amp; References '!AF55</f>
        <v>1798005</v>
      </c>
      <c r="I25" s="191">
        <f>'RES Calculations &amp; References '!AG55</f>
        <v>823905</v>
      </c>
      <c r="J25" s="191">
        <f>'RES Calculations &amp; References '!AH55</f>
        <v>1182690</v>
      </c>
      <c r="K25" s="191">
        <f>'RES Calculations &amp; References '!AI55</f>
        <v>477360</v>
      </c>
      <c r="L25" s="191">
        <f>'RES Calculations &amp; References '!AJ55</f>
        <v>206550</v>
      </c>
      <c r="M25" s="191">
        <f>'RES Calculations &amp; References '!AK55</f>
        <v>488580</v>
      </c>
      <c r="N25" s="191">
        <f>'RES Calculations &amp; References '!AL55</f>
        <v>1073805</v>
      </c>
      <c r="O25" s="191">
        <f>'RES Calculations &amp; References '!AM55</f>
        <v>435540</v>
      </c>
      <c r="P25" s="191">
        <f>'RES Calculations &amp; References '!AN55</f>
        <v>710685.00000000012</v>
      </c>
      <c r="Q25" s="191">
        <f>'RES Calculations &amp; References '!AO55</f>
        <v>1990785</v>
      </c>
      <c r="R25" s="191">
        <f>'RES Calculations &amp; References '!AP55</f>
        <v>74715</v>
      </c>
      <c r="S25" s="191">
        <f>'RES Calculations &amp; References '!AQ55</f>
        <v>317730</v>
      </c>
      <c r="T25" s="191">
        <f>'RES Calculations &amp; References '!AR55</f>
        <v>209865</v>
      </c>
      <c r="U25" s="191">
        <f>'RES Calculations &amp; References '!AS55</f>
        <v>887145</v>
      </c>
      <c r="V25" s="191">
        <f>'RES Calculations &amp; References '!AT55</f>
        <v>763470</v>
      </c>
      <c r="W25" s="191">
        <f>'RES Calculations &amp; References '!AU55</f>
        <v>16135125</v>
      </c>
      <c r="X25" s="191"/>
      <c r="Y25" s="191"/>
      <c r="Z25" s="196"/>
    </row>
    <row r="26" spans="1:26">
      <c r="A26" s="470"/>
      <c r="B26" s="467"/>
      <c r="C26" s="197" t="s">
        <v>203</v>
      </c>
      <c r="D26" s="191">
        <f>'RES Calculations &amp; References '!AB56</f>
        <v>284072.5</v>
      </c>
      <c r="E26" s="191">
        <f>'RES Calculations &amp; References '!AC56</f>
        <v>2487.5</v>
      </c>
      <c r="F26" s="191">
        <f>'RES Calculations &amp; References '!AD56</f>
        <v>8009039.9249999989</v>
      </c>
      <c r="G26" s="191">
        <f>'RES Calculations &amp; References '!AE56</f>
        <v>861670</v>
      </c>
      <c r="H26" s="191">
        <f>'RES Calculations &amp; References '!AF56</f>
        <v>3507343.6749999998</v>
      </c>
      <c r="I26" s="191">
        <f>'RES Calculations &amp; References '!AG56</f>
        <v>1607180.1749999998</v>
      </c>
      <c r="J26" s="191">
        <f>'RES Calculations &amp; References '!AH56</f>
        <v>2307057.1499999994</v>
      </c>
      <c r="K26" s="191">
        <f>'RES Calculations &amp; References '!AI56</f>
        <v>931179.6</v>
      </c>
      <c r="L26" s="191">
        <f>'RES Calculations &amp; References '!AJ56</f>
        <v>402975</v>
      </c>
      <c r="M26" s="191">
        <f>'RES Calculations &amp; References '!AK56</f>
        <v>953066.29999999993</v>
      </c>
      <c r="N26" s="191">
        <f>'RES Calculations &amp; References '!AL56</f>
        <v>2094656.6749999998</v>
      </c>
      <c r="O26" s="191">
        <f>'RES Calculations &amp; References '!AM56</f>
        <v>849730</v>
      </c>
      <c r="P26" s="191">
        <f>'RES Calculations &amp; References '!AN56</f>
        <v>1386323.4749999999</v>
      </c>
      <c r="Q26" s="191">
        <f>'RES Calculations &amp; References '!AO56</f>
        <v>3883396.9749999996</v>
      </c>
      <c r="R26" s="191">
        <f>'RES Calculations &amp; References '!AP56</f>
        <v>145767.5</v>
      </c>
      <c r="S26" s="191">
        <f>'RES Calculations &amp; References '!AQ56</f>
        <v>619791.54999999993</v>
      </c>
      <c r="T26" s="191">
        <f>'RES Calculations &amp; References '!AR56</f>
        <v>409442.5</v>
      </c>
      <c r="U26" s="191">
        <f>'RES Calculations &amp; References '!AS56</f>
        <v>1730541.5749999997</v>
      </c>
      <c r="V26" s="191">
        <f>'RES Calculations &amp; References '!AT56</f>
        <v>1489290.45</v>
      </c>
      <c r="W26" s="191">
        <f>'RES Calculations &amp; References '!AU56</f>
        <v>31475012.525000002</v>
      </c>
      <c r="X26" s="191"/>
      <c r="Y26" s="191"/>
      <c r="Z26" s="196"/>
    </row>
    <row r="27" spans="1:26">
      <c r="A27" s="470"/>
      <c r="B27" s="467"/>
      <c r="C27" s="197" t="s">
        <v>202</v>
      </c>
      <c r="D27" s="191">
        <f>'RES Calculations &amp; References '!AB57</f>
        <v>85649.999999999985</v>
      </c>
      <c r="E27" s="191">
        <f>'RES Calculations &amp; References '!AC57</f>
        <v>750</v>
      </c>
      <c r="F27" s="191">
        <f>'RES Calculations &amp; References '!AD57</f>
        <v>2415150</v>
      </c>
      <c r="G27" s="191">
        <f>'RES Calculations &amp; References '!AE57</f>
        <v>259800</v>
      </c>
      <c r="H27" s="191">
        <f>'RES Calculations &amp; References '!AF57</f>
        <v>1057649.9999999998</v>
      </c>
      <c r="I27" s="191">
        <f>'RES Calculations &amp; References '!AG57</f>
        <v>484650</v>
      </c>
      <c r="J27" s="191">
        <f>'RES Calculations &amp; References '!AH57</f>
        <v>695699.99999999988</v>
      </c>
      <c r="K27" s="191">
        <f>'RES Calculations &amp; References '!AI57</f>
        <v>280800</v>
      </c>
      <c r="L27" s="191">
        <f>'RES Calculations &amp; References '!AJ57</f>
        <v>121500</v>
      </c>
      <c r="M27" s="191">
        <f>'RES Calculations &amp; References '!AK57</f>
        <v>287400</v>
      </c>
      <c r="N27" s="191">
        <f>'RES Calculations &amp; References '!AL57</f>
        <v>631650</v>
      </c>
      <c r="O27" s="191">
        <f>'RES Calculations &amp; References '!AM57</f>
        <v>256200</v>
      </c>
      <c r="P27" s="191">
        <f>'RES Calculations &amp; References '!AN57</f>
        <v>418050</v>
      </c>
      <c r="Q27" s="191">
        <f>'RES Calculations &amp; References '!AO57</f>
        <v>1171050</v>
      </c>
      <c r="R27" s="191">
        <f>'RES Calculations &amp; References '!AP57</f>
        <v>43949.999999999993</v>
      </c>
      <c r="S27" s="191">
        <f>'RES Calculations &amp; References '!AQ57</f>
        <v>186900</v>
      </c>
      <c r="T27" s="191">
        <f>'RES Calculations &amp; References '!AR57</f>
        <v>123449.99999999999</v>
      </c>
      <c r="U27" s="191">
        <f>'RES Calculations &amp; References '!AS57</f>
        <v>521850</v>
      </c>
      <c r="V27" s="191">
        <f>'RES Calculations &amp; References '!AT57</f>
        <v>449099.99999999994</v>
      </c>
      <c r="W27" s="191">
        <f>'RES Calculations &amp; References '!AU57</f>
        <v>9491250</v>
      </c>
      <c r="X27" s="191"/>
      <c r="Y27" s="191"/>
      <c r="Z27" s="196"/>
    </row>
    <row r="28" spans="1:26">
      <c r="A28" s="470"/>
      <c r="B28" s="467"/>
      <c r="C28" s="197" t="s">
        <v>201</v>
      </c>
      <c r="D28" s="191">
        <f>'RES Calculations &amp; References '!AB58</f>
        <v>157864.70588235292</v>
      </c>
      <c r="E28" s="191">
        <f>'RES Calculations &amp; References '!AC58</f>
        <v>1382.3529411764707</v>
      </c>
      <c r="F28" s="191">
        <f>'RES Calculations &amp; References '!AD58</f>
        <v>4451452.9411764704</v>
      </c>
      <c r="G28" s="191">
        <f>'RES Calculations &amp; References '!AE58</f>
        <v>478847.0588235294</v>
      </c>
      <c r="H28" s="191">
        <f>'RES Calculations &amp; References '!AF58</f>
        <v>1949394.1176470588</v>
      </c>
      <c r="I28" s="191">
        <f>'RES Calculations &amp; References '!AG58</f>
        <v>893276.4705882353</v>
      </c>
      <c r="J28" s="191">
        <f>'RES Calculations &amp; References '!AH58</f>
        <v>1282270.588235294</v>
      </c>
      <c r="K28" s="191">
        <f>'RES Calculations &amp; References '!AI58</f>
        <v>517552.94117647054</v>
      </c>
      <c r="L28" s="191">
        <f>'RES Calculations &amp; References '!AJ58</f>
        <v>223941.17647058825</v>
      </c>
      <c r="M28" s="191">
        <f>'RES Calculations &amp; References '!AK58</f>
        <v>529717.6470588235</v>
      </c>
      <c r="N28" s="191">
        <f>'RES Calculations &amp; References '!AL58</f>
        <v>1164217.6470588234</v>
      </c>
      <c r="O28" s="191">
        <f>'RES Calculations &amp; References '!AM58</f>
        <v>472211.76470588235</v>
      </c>
      <c r="P28" s="191">
        <f>'RES Calculations &amp; References '!AN58</f>
        <v>770523.5294117647</v>
      </c>
      <c r="Q28" s="191">
        <f>'RES Calculations &amp; References '!AO58</f>
        <v>2158405.8823529412</v>
      </c>
      <c r="R28" s="191">
        <f>'RES Calculations &amp; References '!AP58</f>
        <v>81005.882352941175</v>
      </c>
      <c r="S28" s="191">
        <f>'RES Calculations &amp; References '!AQ58</f>
        <v>344482.3529411765</v>
      </c>
      <c r="T28" s="191">
        <f>'RES Calculations &amp; References '!AR58</f>
        <v>227535.29411764708</v>
      </c>
      <c r="U28" s="191">
        <f>'RES Calculations &amp; References '!AS58</f>
        <v>961841.17647058831</v>
      </c>
      <c r="V28" s="191">
        <f>'RES Calculations &amp; References '!AT58</f>
        <v>827752.9411764706</v>
      </c>
      <c r="W28" s="191">
        <f>'RES Calculations &amp; References '!AU58</f>
        <v>17493676.470588237</v>
      </c>
      <c r="X28" s="191"/>
      <c r="Y28" s="191"/>
      <c r="Z28" s="196"/>
    </row>
    <row r="29" spans="1:26">
      <c r="A29" s="470"/>
      <c r="B29" s="467"/>
      <c r="C29" s="197" t="s">
        <v>200</v>
      </c>
      <c r="D29" s="191">
        <f>'RES Calculations &amp; References '!AB59</f>
        <v>77462.867647058811</v>
      </c>
      <c r="E29" s="191">
        <f>'RES Calculations &amp; References '!AC59</f>
        <v>678.30882352941182</v>
      </c>
      <c r="F29" s="191">
        <f>'RES Calculations &amp; References '!AD59</f>
        <v>2184290.073529412</v>
      </c>
      <c r="G29" s="191">
        <f>'RES Calculations &amp; References '!AE59</f>
        <v>234966.17647058825</v>
      </c>
      <c r="H29" s="191">
        <f>'RES Calculations &amp; References '!AF59</f>
        <v>956551.1029411765</v>
      </c>
      <c r="I29" s="191">
        <f>'RES Calculations &amp; References '!AG59</f>
        <v>438323.1617647059</v>
      </c>
      <c r="J29" s="191">
        <f>'RES Calculations &amp; References '!AH59</f>
        <v>629199.26470588229</v>
      </c>
      <c r="K29" s="191">
        <f>'RES Calculations &amp; References '!AI59</f>
        <v>253958.82352941175</v>
      </c>
      <c r="L29" s="191">
        <f>'RES Calculations &amp; References '!AJ59</f>
        <v>109886.02941176471</v>
      </c>
      <c r="M29" s="191">
        <f>'RES Calculations &amp; References '!AK59</f>
        <v>259927.94117647057</v>
      </c>
      <c r="N29" s="191">
        <f>'RES Calculations &amp; References '!AL59</f>
        <v>571271.6911764706</v>
      </c>
      <c r="O29" s="191">
        <f>'RES Calculations &amp; References '!AM59</f>
        <v>231710.29411764705</v>
      </c>
      <c r="P29" s="191">
        <f>'RES Calculations &amp; References '!AN59</f>
        <v>378089.3382352941</v>
      </c>
      <c r="Q29" s="191">
        <f>'RES Calculations &amp; References '!AO59</f>
        <v>1059111.3970588236</v>
      </c>
      <c r="R29" s="191">
        <f>'RES Calculations &amp; References '!AP59</f>
        <v>39748.897058823532</v>
      </c>
      <c r="S29" s="191">
        <f>'RES Calculations &amp; References '!AQ59</f>
        <v>169034.55882352943</v>
      </c>
      <c r="T29" s="191">
        <f>'RES Calculations &amp; References '!AR59</f>
        <v>111649.63235294119</v>
      </c>
      <c r="U29" s="191">
        <f>'RES Calculations &amp; References '!AS59</f>
        <v>471967.27941176476</v>
      </c>
      <c r="V29" s="191">
        <f>'RES Calculations &amp; References '!AT59</f>
        <v>406171.32352941175</v>
      </c>
      <c r="W29" s="191">
        <f>'RES Calculations &amp; References '!AU59</f>
        <v>8583998.1617647074</v>
      </c>
      <c r="X29" s="191">
        <f>SUM(W25:W29)</f>
        <v>83179062.157352954</v>
      </c>
      <c r="Y29" s="191">
        <f>X29/63275</f>
        <v>1314.5643960071584</v>
      </c>
      <c r="Z29" s="196">
        <f>X29/$X$33</f>
        <v>0.18775490037374531</v>
      </c>
    </row>
    <row r="30" spans="1:26">
      <c r="A30" s="470"/>
      <c r="B30" s="464" t="s">
        <v>2</v>
      </c>
      <c r="C30" s="92" t="s">
        <v>199</v>
      </c>
      <c r="D30" s="195">
        <f>'RES Calculations &amp; References '!AB60</f>
        <v>6577.92</v>
      </c>
      <c r="E30" s="195">
        <f>'RES Calculations &amp; References '!AC60</f>
        <v>57.6</v>
      </c>
      <c r="F30" s="195">
        <f>'RES Calculations &amp; References '!AD60</f>
        <v>185483.51999999999</v>
      </c>
      <c r="G30" s="195">
        <f>'RES Calculations &amp; References '!AE60</f>
        <v>19952.64</v>
      </c>
      <c r="H30" s="195">
        <f>'RES Calculations &amp; References '!AF60</f>
        <v>81227.520000000004</v>
      </c>
      <c r="I30" s="195">
        <f>'RES Calculations &amp; References '!AG60</f>
        <v>37221.120000000003</v>
      </c>
      <c r="J30" s="195">
        <f>'RES Calculations &amp; References '!AH60</f>
        <v>53429.760000000002</v>
      </c>
      <c r="K30" s="195">
        <f>'RES Calculations &amp; References '!AI60</f>
        <v>21565.439999999999</v>
      </c>
      <c r="L30" s="195">
        <f>'RES Calculations &amp; References '!AJ60</f>
        <v>9331.1999999999989</v>
      </c>
      <c r="M30" s="195">
        <f>'RES Calculations &amp; References '!AK60</f>
        <v>22072.32</v>
      </c>
      <c r="N30" s="195">
        <f>'RES Calculations &amp; References '!AL60</f>
        <v>48510.720000000001</v>
      </c>
      <c r="O30" s="195">
        <f>'RES Calculations &amp; References '!AM60</f>
        <v>19676.160000000003</v>
      </c>
      <c r="P30" s="195">
        <f>'RES Calculations &amp; References '!AN60</f>
        <v>32106.240000000002</v>
      </c>
      <c r="Q30" s="195">
        <f>'RES Calculations &amp; References '!AO60</f>
        <v>89936.640000000014</v>
      </c>
      <c r="R30" s="195">
        <f>'RES Calculations &amp; References '!AP60</f>
        <v>3375.36</v>
      </c>
      <c r="S30" s="195">
        <f>'RES Calculations &amp; References '!AQ60</f>
        <v>14353.920000000002</v>
      </c>
      <c r="T30" s="195">
        <f>'RES Calculations &amp; References '!AR60</f>
        <v>9480.9600000000009</v>
      </c>
      <c r="U30" s="195">
        <f>'RES Calculations &amp; References '!AS60</f>
        <v>40078.080000000002</v>
      </c>
      <c r="V30" s="195">
        <f>'RES Calculations &amp; References '!AT60</f>
        <v>34490.880000000005</v>
      </c>
      <c r="W30" s="195">
        <f>'RES Calculations &amp; References '!AU60</f>
        <v>728928</v>
      </c>
      <c r="X30" s="195"/>
      <c r="Y30" s="195"/>
      <c r="Z30" s="194"/>
    </row>
    <row r="31" spans="1:26">
      <c r="A31" s="470"/>
      <c r="B31" s="465"/>
      <c r="C31" s="92" t="s">
        <v>198</v>
      </c>
      <c r="D31" s="195">
        <f>'RES Calculations &amp; References '!AB61</f>
        <v>11990.999999999998</v>
      </c>
      <c r="E31" s="195">
        <f>'RES Calculations &amp; References '!AC61</f>
        <v>105</v>
      </c>
      <c r="F31" s="195">
        <f>'RES Calculations &amp; References '!AD61</f>
        <v>338121</v>
      </c>
      <c r="G31" s="195">
        <f>'RES Calculations &amp; References '!AE61</f>
        <v>36372</v>
      </c>
      <c r="H31" s="195">
        <f>'RES Calculations &amp; References '!AF61</f>
        <v>148070.99999999997</v>
      </c>
      <c r="I31" s="195">
        <f>'RES Calculations &amp; References '!AG61</f>
        <v>67851</v>
      </c>
      <c r="J31" s="195">
        <f>'RES Calculations &amp; References '!AH61</f>
        <v>97397.999999999985</v>
      </c>
      <c r="K31" s="195">
        <f>'RES Calculations &amp; References '!AI61</f>
        <v>39312</v>
      </c>
      <c r="L31" s="195">
        <f>'RES Calculations &amp; References '!AJ61</f>
        <v>17010</v>
      </c>
      <c r="M31" s="195">
        <f>'RES Calculations &amp; References '!AK61</f>
        <v>40236</v>
      </c>
      <c r="N31" s="195">
        <f>'RES Calculations &amp; References '!AL61</f>
        <v>88431</v>
      </c>
      <c r="O31" s="195">
        <f>'RES Calculations &amp; References '!AM61</f>
        <v>35868</v>
      </c>
      <c r="P31" s="195">
        <f>'RES Calculations &amp; References '!AN61</f>
        <v>58527</v>
      </c>
      <c r="Q31" s="195">
        <f>'RES Calculations &amp; References '!AO61</f>
        <v>163947</v>
      </c>
      <c r="R31" s="195">
        <f>'RES Calculations &amp; References '!AP61</f>
        <v>6152.9999999999991</v>
      </c>
      <c r="S31" s="195">
        <f>'RES Calculations &amp; References '!AQ61</f>
        <v>26166</v>
      </c>
      <c r="T31" s="195">
        <f>'RES Calculations &amp; References '!AR61</f>
        <v>17283</v>
      </c>
      <c r="U31" s="195">
        <f>'RES Calculations &amp; References '!AS61</f>
        <v>73059</v>
      </c>
      <c r="V31" s="195">
        <f>'RES Calculations &amp; References '!AT61</f>
        <v>62873.999999999993</v>
      </c>
      <c r="W31" s="195">
        <f>'RES Calculations &amp; References '!AU61</f>
        <v>1328775</v>
      </c>
      <c r="X31" s="195"/>
      <c r="Y31" s="195"/>
      <c r="Z31" s="194"/>
    </row>
    <row r="32" spans="1:26">
      <c r="A32" s="470"/>
      <c r="B32" s="468"/>
      <c r="C32" s="92" t="s">
        <v>197</v>
      </c>
      <c r="D32" s="195">
        <f>'RES Calculations &amp; References '!AB62</f>
        <v>342600</v>
      </c>
      <c r="E32" s="195">
        <f>'RES Calculations &amp; References '!AC62</f>
        <v>3000</v>
      </c>
      <c r="F32" s="195">
        <f>'RES Calculations &amp; References '!AD62</f>
        <v>9660600</v>
      </c>
      <c r="G32" s="195">
        <f>'RES Calculations &amp; References '!AE62</f>
        <v>1039200</v>
      </c>
      <c r="H32" s="195">
        <f>'RES Calculations &amp; References '!AF62</f>
        <v>4230600</v>
      </c>
      <c r="I32" s="195">
        <f>'RES Calculations &amp; References '!AG62</f>
        <v>1938600</v>
      </c>
      <c r="J32" s="195">
        <f>'RES Calculations &amp; References '!AH62</f>
        <v>2782800</v>
      </c>
      <c r="K32" s="195">
        <f>'RES Calculations &amp; References '!AI62</f>
        <v>1123200</v>
      </c>
      <c r="L32" s="195">
        <f>'RES Calculations &amp; References '!AJ62</f>
        <v>486000</v>
      </c>
      <c r="M32" s="195">
        <f>'RES Calculations &amp; References '!AK62</f>
        <v>1149600</v>
      </c>
      <c r="N32" s="195">
        <f>'RES Calculations &amp; References '!AL62</f>
        <v>2526600</v>
      </c>
      <c r="O32" s="195">
        <f>'RES Calculations &amp; References '!AM62</f>
        <v>1024800</v>
      </c>
      <c r="P32" s="195">
        <f>'RES Calculations &amp; References '!AN62</f>
        <v>1672200</v>
      </c>
      <c r="Q32" s="195">
        <f>'RES Calculations &amp; References '!AO62</f>
        <v>4684200</v>
      </c>
      <c r="R32" s="195">
        <f>'RES Calculations &amp; References '!AP62</f>
        <v>175800</v>
      </c>
      <c r="S32" s="195">
        <f>'RES Calculations &amp; References '!AQ62</f>
        <v>747600</v>
      </c>
      <c r="T32" s="195">
        <f>'RES Calculations &amp; References '!AR62</f>
        <v>493800</v>
      </c>
      <c r="U32" s="195">
        <f>'RES Calculations &amp; References '!AS62</f>
        <v>2087400</v>
      </c>
      <c r="V32" s="195">
        <f>'RES Calculations &amp; References '!AT62</f>
        <v>1796400</v>
      </c>
      <c r="W32" s="195">
        <f>'RES Calculations &amp; References '!AU62</f>
        <v>37965000</v>
      </c>
      <c r="X32" s="195">
        <f>SUM(W30:W32)</f>
        <v>40022703</v>
      </c>
      <c r="Y32" s="195">
        <f>X32/63275</f>
        <v>632.52</v>
      </c>
      <c r="Z32" s="194">
        <f>X32/$X$33</f>
        <v>9.0340747052877493E-2</v>
      </c>
    </row>
    <row r="33" spans="1:26">
      <c r="A33" s="470"/>
      <c r="B33" s="472" t="s">
        <v>196</v>
      </c>
      <c r="C33" s="193" t="s">
        <v>195</v>
      </c>
      <c r="D33" s="191">
        <f>'RES Calculations &amp; References '!AB63</f>
        <v>4598449.2142367894</v>
      </c>
      <c r="E33" s="191">
        <f>'RES Calculations &amp; References '!AC63</f>
        <v>40266.630597520038</v>
      </c>
      <c r="F33" s="191">
        <f>'RES Calculations &amp; References '!AD63</f>
        <v>110975813.2388362</v>
      </c>
      <c r="G33" s="191">
        <f>'RES Calculations &amp; References '!AE63</f>
        <v>13948360.838980945</v>
      </c>
      <c r="H33" s="191">
        <f>'RES Calculations &amp; References '!AF63</f>
        <v>48598873.308927037</v>
      </c>
      <c r="I33" s="191">
        <f>'RES Calculations &amp; References '!AG63</f>
        <v>22269601.426910121</v>
      </c>
      <c r="J33" s="191">
        <f>'RES Calculations &amp; References '!AH63</f>
        <v>31967320.154134668</v>
      </c>
      <c r="K33" s="191">
        <f>'RES Calculations &amp; References '!AI63</f>
        <v>12902721.718098339</v>
      </c>
      <c r="L33" s="191">
        <f>'RES Calculations &amp; References '!AJ63</f>
        <v>6523194.1567982463</v>
      </c>
      <c r="M33" s="191">
        <f>'RES Calculations &amp; References '!AK63</f>
        <v>13205990.818310056</v>
      </c>
      <c r="N33" s="191">
        <f>'RES Calculations &amp; References '!AL63</f>
        <v>29024231.386170998</v>
      </c>
      <c r="O33" s="191">
        <f>'RES Calculations &amp; References '!AM63</f>
        <v>13755081.012112847</v>
      </c>
      <c r="P33" s="191">
        <f>'RES Calculations &amp; References '!AN63</f>
        <v>19209340.506591916</v>
      </c>
      <c r="Q33" s="191">
        <f>'RES Calculations &amp; References '!AO63</f>
        <v>53809587.84892828</v>
      </c>
      <c r="R33" s="191">
        <f>'RES Calculations &amp; References '!AP63</f>
        <v>2359624.5530146747</v>
      </c>
      <c r="S33" s="191">
        <f>'RES Calculations &amp; References '!AQ63</f>
        <v>8588029.519631695</v>
      </c>
      <c r="T33" s="191">
        <f>'RES Calculations &amp; References '!AR63</f>
        <v>6627887.3963517984</v>
      </c>
      <c r="U33" s="191">
        <f>'RES Calculations &amp; References '!AS63</f>
        <v>23978936.355376132</v>
      </c>
      <c r="V33" s="191">
        <f>'RES Calculations &amp; References '!AT63</f>
        <v>20636083.773497026</v>
      </c>
      <c r="W33" s="191">
        <f>'RES Calculations &amp; References '!AU63</f>
        <v>443019393.85750526</v>
      </c>
      <c r="X33" s="191">
        <f>SUM(X5:X32)</f>
        <v>443019393.85750532</v>
      </c>
      <c r="Y33" s="191">
        <f>X33/63275</f>
        <v>7001.4918033584408</v>
      </c>
      <c r="Z33" s="167"/>
    </row>
    <row r="34" spans="1:26" ht="90">
      <c r="A34" s="471"/>
      <c r="B34" s="472"/>
      <c r="C34" s="192" t="s">
        <v>194</v>
      </c>
      <c r="D34" s="191">
        <f>'RES Calculations &amp; References '!AB64</f>
        <v>4067392</v>
      </c>
      <c r="E34" s="191">
        <f>'RES Calculations &amp; References '!AC64</f>
        <v>14937</v>
      </c>
      <c r="F34" s="191">
        <f>'RES Calculations &amp; References '!AD64</f>
        <v>85581711</v>
      </c>
      <c r="G34" s="191">
        <f>'RES Calculations &amp; References '!AE64</f>
        <v>15324571</v>
      </c>
      <c r="H34" s="191">
        <f>'RES Calculations &amp; References '!AF64</f>
        <v>48696069</v>
      </c>
      <c r="I34" s="191">
        <f>'RES Calculations &amp; References '!AG64</f>
        <v>24561712</v>
      </c>
      <c r="J34" s="191">
        <f>'RES Calculations &amp; References '!AH64</f>
        <v>31415140</v>
      </c>
      <c r="K34" s="191">
        <f>'RES Calculations &amp; References '!AI64</f>
        <v>13698115</v>
      </c>
      <c r="L34" s="191">
        <f>'RES Calculations &amp; References '!AJ64</f>
        <v>5721920</v>
      </c>
      <c r="M34" s="191">
        <f>'RES Calculations &amp; References '!AK64</f>
        <v>15249432</v>
      </c>
      <c r="N34" s="191">
        <f>'RES Calculations &amp; References '!AL64</f>
        <v>32653197</v>
      </c>
      <c r="O34" s="191">
        <f>'RES Calculations &amp; References '!AM64</f>
        <v>13169921</v>
      </c>
      <c r="P34" s="191">
        <f>'RES Calculations &amp; References '!AN64</f>
        <v>24409693</v>
      </c>
      <c r="Q34" s="191">
        <f>'RES Calculations &amp; References '!AO64</f>
        <v>51222208</v>
      </c>
      <c r="R34" s="191">
        <f>'RES Calculations &amp; References '!AP64</f>
        <v>2196267</v>
      </c>
      <c r="S34" s="191">
        <f>'RES Calculations &amp; References '!AQ64</f>
        <v>9727605</v>
      </c>
      <c r="T34" s="191">
        <f>'RES Calculations &amp; References '!AR64</f>
        <v>6710615</v>
      </c>
      <c r="U34" s="191">
        <f>'RES Calculations &amp; References '!AS64</f>
        <v>25722336</v>
      </c>
      <c r="V34" s="191">
        <f>'RES Calculations &amp; References '!AT64</f>
        <v>16339856</v>
      </c>
      <c r="W34" s="191">
        <f>'RES Calculations &amp; References '!AU64</f>
        <v>426482697</v>
      </c>
      <c r="X34" s="191"/>
      <c r="Y34" s="191"/>
      <c r="Z34" s="190" t="s">
        <v>193</v>
      </c>
    </row>
    <row r="35" spans="1:26" s="184" customFormat="1" ht="30" customHeight="1">
      <c r="A35" s="463" t="s">
        <v>192</v>
      </c>
      <c r="B35" s="457" t="s">
        <v>191</v>
      </c>
      <c r="C35" s="188" t="s">
        <v>184</v>
      </c>
      <c r="D35" s="188">
        <f>'RES Calculations &amp; References '!D120</f>
        <v>0</v>
      </c>
      <c r="E35" s="188">
        <f>'RES Calculations &amp; References '!E120</f>
        <v>0</v>
      </c>
      <c r="F35" s="188">
        <f>'RES Calculations &amp; References '!F120</f>
        <v>12725</v>
      </c>
      <c r="G35" s="188">
        <f>'RES Calculations &amp; References '!G120</f>
        <v>0</v>
      </c>
      <c r="H35" s="188">
        <f>'RES Calculations &amp; References '!H120</f>
        <v>3669</v>
      </c>
      <c r="I35" s="188">
        <f>'RES Calculations &amp; References '!I120</f>
        <v>2248.0270682424702</v>
      </c>
      <c r="J35" s="188">
        <f>'RES Calculations &amp; References '!J120</f>
        <v>2892.4528301886794</v>
      </c>
      <c r="K35" s="188">
        <f>'RES Calculations &amp; References '!K120</f>
        <v>234</v>
      </c>
      <c r="L35" s="188">
        <f>'RES Calculations &amp; References '!L120</f>
        <v>0</v>
      </c>
      <c r="M35" s="188">
        <f>'RES Calculations &amp; References '!M120</f>
        <v>544</v>
      </c>
      <c r="N35" s="188">
        <f>'RES Calculations &amp; References '!N120</f>
        <v>1600</v>
      </c>
      <c r="O35" s="188">
        <f>'RES Calculations &amp; References '!O120</f>
        <v>0</v>
      </c>
      <c r="P35" s="188">
        <f>'RES Calculations &amp; References '!P120</f>
        <v>1399</v>
      </c>
      <c r="Q35" s="188">
        <f>'RES Calculations &amp; References '!Q120</f>
        <v>5367</v>
      </c>
      <c r="R35" s="188">
        <f>'RES Calculations &amp; References '!R120</f>
        <v>0</v>
      </c>
      <c r="S35" s="188">
        <f>'RES Calculations &amp; References '!S120</f>
        <v>77</v>
      </c>
      <c r="T35" s="188">
        <f>'RES Calculations &amp; References '!T120</f>
        <v>0</v>
      </c>
      <c r="U35" s="188">
        <f>'RES Calculations &amp; References '!U120</f>
        <v>1926</v>
      </c>
      <c r="V35" s="188">
        <f>'RES Calculations &amp; References '!V120</f>
        <v>2214</v>
      </c>
      <c r="W35" s="188">
        <f>'RES Calculations &amp; References '!W120</f>
        <v>35230</v>
      </c>
      <c r="X35" s="188"/>
      <c r="Y35" s="188"/>
      <c r="Z35" s="187"/>
    </row>
    <row r="36" spans="1:26" s="184" customFormat="1">
      <c r="A36" s="463"/>
      <c r="B36" s="458"/>
      <c r="C36" s="189" t="s">
        <v>19</v>
      </c>
      <c r="D36" s="188">
        <f>'RES Calculations &amp; References '!D121</f>
        <v>0</v>
      </c>
      <c r="E36" s="188">
        <f>'RES Calculations &amp; References '!E121</f>
        <v>0</v>
      </c>
      <c r="F36" s="188">
        <f>'RES Calculations &amp; References '!F121</f>
        <v>619092.51292412844</v>
      </c>
      <c r="G36" s="188">
        <f>'RES Calculations &amp; References '!G121</f>
        <v>0</v>
      </c>
      <c r="H36" s="188">
        <f>'RES Calculations &amp; References '!H121</f>
        <v>172338.71433295461</v>
      </c>
      <c r="I36" s="188">
        <f>'RES Calculations &amp; References '!I121</f>
        <v>128727.18031169813</v>
      </c>
      <c r="J36" s="188">
        <f>'RES Calculations &amp; References '!J121</f>
        <v>165628.47586433945</v>
      </c>
      <c r="K36" s="188">
        <f>'RES Calculations &amp; References '!K121</f>
        <v>8303.4633427773715</v>
      </c>
      <c r="L36" s="188">
        <f>'RES Calculations &amp; References '!L121</f>
        <v>0</v>
      </c>
      <c r="M36" s="188">
        <f>'RES Calculations &amp; References '!M121</f>
        <v>31140.133687739457</v>
      </c>
      <c r="N36" s="188">
        <f>'RES Calculations &amp; References '!N121</f>
        <v>75181.258467761421</v>
      </c>
      <c r="O36" s="188">
        <f>'RES Calculations &amp; References '!O121</f>
        <v>0</v>
      </c>
      <c r="P36" s="188">
        <f>'RES Calculations &amp; References '!P121</f>
        <v>85930.86598943772</v>
      </c>
      <c r="Q36" s="188">
        <f>'RES Calculations &amp; References '!Q121</f>
        <v>303099.81848516111</v>
      </c>
      <c r="R36" s="188">
        <f>'RES Calculations &amp; References '!R121</f>
        <v>0</v>
      </c>
      <c r="S36" s="188">
        <f>'RES Calculations &amp; References '!S121</f>
        <v>4806.777601125913</v>
      </c>
      <c r="T36" s="188">
        <f>'RES Calculations &amp; References '!T121</f>
        <v>0</v>
      </c>
      <c r="U36" s="188">
        <f>'RES Calculations &amp; References '!U121</f>
        <v>101097.32206181585</v>
      </c>
      <c r="V36" s="188">
        <f>'RES Calculations &amp; References '!V121</f>
        <v>107939.5910080349</v>
      </c>
      <c r="W36" s="188">
        <f>'RES Calculations &amp; References '!W121</f>
        <v>1803286.1140769746</v>
      </c>
      <c r="X36" s="188"/>
      <c r="Y36" s="188"/>
      <c r="Z36" s="187"/>
    </row>
    <row r="37" spans="1:26" s="184" customFormat="1">
      <c r="A37" s="463"/>
      <c r="B37" s="458"/>
      <c r="C37" s="189" t="s">
        <v>17</v>
      </c>
      <c r="D37" s="188">
        <f>'RES Calculations &amp; References '!D122</f>
        <v>0</v>
      </c>
      <c r="E37" s="188">
        <f>'RES Calculations &amp; References '!E122</f>
        <v>0</v>
      </c>
      <c r="F37" s="188">
        <f>'RES Calculations &amp; References '!F122</f>
        <v>115748.37669525933</v>
      </c>
      <c r="G37" s="188">
        <f>'RES Calculations &amp; References '!G122</f>
        <v>0</v>
      </c>
      <c r="H37" s="188">
        <f>'RES Calculations &amp; References '!H122</f>
        <v>32221.236744680507</v>
      </c>
      <c r="I37" s="188">
        <f>'RES Calculations &amp; References '!I122</f>
        <v>24067.424248535594</v>
      </c>
      <c r="J37" s="188">
        <f>'RES Calculations &amp; References '!J122</f>
        <v>30966.659773119754</v>
      </c>
      <c r="K37" s="188">
        <f>'RES Calculations &amp; References '!K122</f>
        <v>1552.4536039621908</v>
      </c>
      <c r="L37" s="188">
        <f>'RES Calculations &amp; References '!L122</f>
        <v>0</v>
      </c>
      <c r="M37" s="188">
        <f>'RES Calculations &amp; References '!M122</f>
        <v>5822.1022693436025</v>
      </c>
      <c r="N37" s="188">
        <f>'RES Calculations &amp; References '!N122</f>
        <v>14056.233024766967</v>
      </c>
      <c r="O37" s="188">
        <f>'RES Calculations &amp; References '!O122</f>
        <v>0</v>
      </c>
      <c r="P37" s="188">
        <f>'RES Calculations &amp; References '!P122</f>
        <v>16066.028967651626</v>
      </c>
      <c r="Q37" s="188">
        <f>'RES Calculations &amp; References '!Q122</f>
        <v>56668.932726351217</v>
      </c>
      <c r="R37" s="188">
        <f>'RES Calculations &amp; References '!R122</f>
        <v>0</v>
      </c>
      <c r="S37" s="188">
        <f>'RES Calculations &amp; References '!S122</f>
        <v>898.69719444280008</v>
      </c>
      <c r="T37" s="188">
        <f>'RES Calculations &amp; References '!T122</f>
        <v>0</v>
      </c>
      <c r="U37" s="188">
        <f>'RES Calculations &amp; References '!U122</f>
        <v>18901.619180665341</v>
      </c>
      <c r="V37" s="188">
        <f>'RES Calculations &amp; References '!V122</f>
        <v>20180.881176092345</v>
      </c>
      <c r="W37" s="188">
        <f>'RES Calculations &amp; References '!W122</f>
        <v>337150.64560487127</v>
      </c>
      <c r="X37" s="188"/>
      <c r="Y37" s="188"/>
      <c r="Z37" s="187"/>
    </row>
    <row r="38" spans="1:26" s="184" customFormat="1">
      <c r="A38" s="463"/>
      <c r="B38" s="458"/>
      <c r="C38" s="189" t="s">
        <v>189</v>
      </c>
      <c r="D38" s="188">
        <f>'RES Calculations &amp; References '!D123</f>
        <v>0</v>
      </c>
      <c r="E38" s="188">
        <f>'RES Calculations &amp; References '!E123</f>
        <v>0</v>
      </c>
      <c r="F38" s="188">
        <f>'RES Calculations &amp; References '!F123</f>
        <v>77686.792926131442</v>
      </c>
      <c r="G38" s="188">
        <f>'RES Calculations &amp; References '!G123</f>
        <v>0</v>
      </c>
      <c r="H38" s="188">
        <f>'RES Calculations &amp; References '!H123</f>
        <v>21625.914922315911</v>
      </c>
      <c r="I38" s="188">
        <f>'RES Calculations &amp; References '!I123</f>
        <v>16153.32376352814</v>
      </c>
      <c r="J38" s="188">
        <f>'RES Calculations &amp; References '!J123</f>
        <v>20783.880984715772</v>
      </c>
      <c r="K38" s="188">
        <f>'RES Calculations &amp; References '!K123</f>
        <v>1041.9596810067123</v>
      </c>
      <c r="L38" s="188">
        <f>'RES Calculations &amp; References '!L123</f>
        <v>0</v>
      </c>
      <c r="M38" s="188">
        <f>'RES Calculations &amp; References '!M123</f>
        <v>3907.6181135919214</v>
      </c>
      <c r="N38" s="188">
        <f>'RES Calculations &amp; References '!N123</f>
        <v>9434.1164471920038</v>
      </c>
      <c r="O38" s="188">
        <f>'RES Calculations &amp; References '!O123</f>
        <v>0</v>
      </c>
      <c r="P38" s="188">
        <f>'RES Calculations &amp; References '!P123</f>
        <v>10783.030407771585</v>
      </c>
      <c r="Q38" s="188">
        <f>'RES Calculations &amp; References '!Q123</f>
        <v>38034.465516933931</v>
      </c>
      <c r="R38" s="188">
        <f>'RES Calculations &amp; References '!R123</f>
        <v>0</v>
      </c>
      <c r="S38" s="188">
        <f>'RES Calculations &amp; References '!S123</f>
        <v>603.17824613459618</v>
      </c>
      <c r="T38" s="188">
        <f>'RES Calculations &amp; References '!T123</f>
        <v>0</v>
      </c>
      <c r="U38" s="188">
        <f>'RES Calculations &amp; References '!U123</f>
        <v>12686.192387154953</v>
      </c>
      <c r="V38" s="188">
        <f>'RES Calculations &amp; References '!V123</f>
        <v>13544.794162613611</v>
      </c>
      <c r="W38" s="188">
        <f>'RES Calculations &amp; References '!W123</f>
        <v>226285.2675590906</v>
      </c>
      <c r="X38" s="188"/>
      <c r="Y38" s="188"/>
      <c r="Z38" s="187"/>
    </row>
    <row r="39" spans="1:26" s="184" customFormat="1">
      <c r="A39" s="463"/>
      <c r="B39" s="458"/>
      <c r="C39" s="189" t="s">
        <v>188</v>
      </c>
      <c r="D39" s="188">
        <f>'RES Calculations &amp; References '!D124</f>
        <v>0</v>
      </c>
      <c r="E39" s="188">
        <f>'RES Calculations &amp; References '!E124</f>
        <v>0</v>
      </c>
      <c r="F39" s="188">
        <f>'RES Calculations &amp; References '!F124</f>
        <v>70371.413802117459</v>
      </c>
      <c r="G39" s="188">
        <f>'RES Calculations &amp; References '!G124</f>
        <v>0</v>
      </c>
      <c r="H39" s="188">
        <f>'RES Calculations &amp; References '!H124</f>
        <v>19589.510012271054</v>
      </c>
      <c r="I39" s="188">
        <f>'RES Calculations &amp; References '!I124</f>
        <v>14632.245559726982</v>
      </c>
      <c r="J39" s="188">
        <f>'RES Calculations &amp; References '!J124</f>
        <v>18826.766224988853</v>
      </c>
      <c r="K39" s="188">
        <f>'RES Calculations &amp; References '!K124</f>
        <v>943.8435172239125</v>
      </c>
      <c r="L39" s="188">
        <f>'RES Calculations &amp; References '!L124</f>
        <v>0</v>
      </c>
      <c r="M39" s="188">
        <f>'RES Calculations &amp; References '!M124</f>
        <v>3539.657139839665</v>
      </c>
      <c r="N39" s="188">
        <f>'RES Calculations &amp; References '!N124</f>
        <v>8545.7525965059867</v>
      </c>
      <c r="O39" s="188">
        <f>'RES Calculations &amp; References '!O124</f>
        <v>0</v>
      </c>
      <c r="P39" s="188">
        <f>'RES Calculations &amp; References '!P124</f>
        <v>9767.6460346050262</v>
      </c>
      <c r="Q39" s="188">
        <f>'RES Calculations &amp; References '!Q124</f>
        <v>34452.948961086797</v>
      </c>
      <c r="R39" s="188">
        <f>'RES Calculations &amp; References '!R124</f>
        <v>0</v>
      </c>
      <c r="S39" s="188">
        <f>'RES Calculations &amp; References '!S124</f>
        <v>546.37994897708586</v>
      </c>
      <c r="T39" s="188">
        <f>'RES Calculations &amp; References '!T124</f>
        <v>0</v>
      </c>
      <c r="U39" s="188">
        <f>'RES Calculations &amp; References '!U124</f>
        <v>11491.596710635504</v>
      </c>
      <c r="V39" s="188">
        <f>'RES Calculations &amp; References '!V124</f>
        <v>12269.348224840567</v>
      </c>
      <c r="W39" s="188">
        <f>'RES Calculations &amp; References '!W124</f>
        <v>204977.10873281889</v>
      </c>
      <c r="X39" s="188"/>
      <c r="Y39" s="188"/>
      <c r="Z39" s="187"/>
    </row>
    <row r="40" spans="1:26" s="184" customFormat="1">
      <c r="A40" s="463"/>
      <c r="B40" s="458"/>
      <c r="C40" s="189" t="s">
        <v>2</v>
      </c>
      <c r="D40" s="188">
        <f>'RES Calculations &amp; References '!D125</f>
        <v>0</v>
      </c>
      <c r="E40" s="188">
        <f>'RES Calculations &amp; References '!E125</f>
        <v>0</v>
      </c>
      <c r="F40" s="188">
        <f>'RES Calculations &amp; References '!F125</f>
        <v>36809.662604184516</v>
      </c>
      <c r="G40" s="188">
        <f>'RES Calculations &amp; References '!G125</f>
        <v>0</v>
      </c>
      <c r="H40" s="188">
        <f>'RES Calculations &amp; References '!H125</f>
        <v>10246.820621803319</v>
      </c>
      <c r="I40" s="188">
        <f>'RES Calculations &amp; References '!I125</f>
        <v>7653.7899850879585</v>
      </c>
      <c r="J40" s="188">
        <f>'RES Calculations &amp; References '!J125</f>
        <v>9847.8469484557063</v>
      </c>
      <c r="K40" s="188">
        <f>'RES Calculations &amp; References '!K125</f>
        <v>493.70276285558498</v>
      </c>
      <c r="L40" s="188">
        <f>'RES Calculations &amp; References '!L125</f>
        <v>0</v>
      </c>
      <c r="M40" s="188">
        <f>'RES Calculations &amp; References '!M125</f>
        <v>1851.512965454594</v>
      </c>
      <c r="N40" s="188">
        <f>'RES Calculations &amp; References '!N125</f>
        <v>4470.0859735569775</v>
      </c>
      <c r="O40" s="188">
        <f>'RES Calculations &amp; References '!O125</f>
        <v>0</v>
      </c>
      <c r="P40" s="188">
        <f>'RES Calculations &amp; References '!P125</f>
        <v>5109.2302334857059</v>
      </c>
      <c r="Q40" s="188">
        <f>'RES Calculations &amp; References '!Q125</f>
        <v>18021.542533491553</v>
      </c>
      <c r="R40" s="188">
        <f>'RES Calculations &amp; References '!R125</f>
        <v>0</v>
      </c>
      <c r="S40" s="188">
        <f>'RES Calculations &amp; References '!S125</f>
        <v>285.79874254186024</v>
      </c>
      <c r="T40" s="188">
        <f>'RES Calculations &amp; References '!T125</f>
        <v>0</v>
      </c>
      <c r="U40" s="188">
        <f>'RES Calculations &amp; References '!U125</f>
        <v>6010.9890486401091</v>
      </c>
      <c r="V40" s="188">
        <f>'RES Calculations &amp; References '!V125</f>
        <v>6417.8129176089114</v>
      </c>
      <c r="W40" s="188">
        <f>'RES Calculations &amp; References '!W125</f>
        <v>107218.7953371668</v>
      </c>
      <c r="X40" s="188"/>
      <c r="Y40" s="188"/>
      <c r="Z40" s="187"/>
    </row>
    <row r="41" spans="1:26" s="184" customFormat="1">
      <c r="A41" s="463"/>
      <c r="B41" s="459"/>
      <c r="C41" s="189" t="s">
        <v>190</v>
      </c>
      <c r="D41" s="188">
        <f>'RES Calculations &amp; References '!D126</f>
        <v>0</v>
      </c>
      <c r="E41" s="188">
        <f>'RES Calculations &amp; References '!E126</f>
        <v>0</v>
      </c>
      <c r="F41" s="188">
        <f>'RES Calculations &amp; References '!F126</f>
        <v>923092</v>
      </c>
      <c r="G41" s="188">
        <f>'RES Calculations &amp; References '!G126</f>
        <v>0</v>
      </c>
      <c r="H41" s="188">
        <f>'RES Calculations &amp; References '!H126</f>
        <v>256964</v>
      </c>
      <c r="I41" s="188">
        <f>'RES Calculations &amp; References '!I126</f>
        <v>191937.43721279447</v>
      </c>
      <c r="J41" s="188">
        <f>'RES Calculations &amp; References '!J126</f>
        <v>246958.76278720555</v>
      </c>
      <c r="K41" s="188">
        <f>'RES Calculations &amp; References '!K126</f>
        <v>12380.8</v>
      </c>
      <c r="L41" s="188">
        <f>'RES Calculations &amp; References '!L126</f>
        <v>0</v>
      </c>
      <c r="M41" s="188">
        <f>'RES Calculations &amp; References '!M126</f>
        <v>46431.199999999997</v>
      </c>
      <c r="N41" s="188">
        <f>'RES Calculations &amp; References '!N126</f>
        <v>112098.3</v>
      </c>
      <c r="O41" s="188">
        <f>'RES Calculations &amp; References '!O126</f>
        <v>0</v>
      </c>
      <c r="P41" s="188">
        <f>'RES Calculations &amp; References '!P126</f>
        <v>128126.39999999999</v>
      </c>
      <c r="Q41" s="188">
        <f>'RES Calculations &amp; References '!Q126</f>
        <v>451934.1</v>
      </c>
      <c r="R41" s="188">
        <f>'RES Calculations &amp; References '!R126</f>
        <v>0</v>
      </c>
      <c r="S41" s="188">
        <f>'RES Calculations &amp; References '!S126</f>
        <v>7167.1</v>
      </c>
      <c r="T41" s="188">
        <f>'RES Calculations &amp; References '!T126</f>
        <v>0</v>
      </c>
      <c r="U41" s="188">
        <f>'RES Calculations &amp; References '!U126</f>
        <v>150740.20000000001</v>
      </c>
      <c r="V41" s="188">
        <f>'RES Calculations &amp; References '!V126</f>
        <v>160942.29999999999</v>
      </c>
      <c r="W41" s="188">
        <f>'RES Calculations &amp; References '!W126</f>
        <v>2688772.6</v>
      </c>
      <c r="X41" s="188"/>
      <c r="Y41" s="188"/>
      <c r="Z41" s="187"/>
    </row>
    <row r="42" spans="1:26" s="184" customFormat="1">
      <c r="A42" s="463"/>
      <c r="B42" s="460" t="s">
        <v>107</v>
      </c>
      <c r="C42" s="185" t="s">
        <v>184</v>
      </c>
      <c r="D42" s="185">
        <f>'RES Calculations &amp; References '!D127</f>
        <v>574.54020000000003</v>
      </c>
      <c r="E42" s="185">
        <f>'RES Calculations &amp; References '!E127</f>
        <v>5.0309999999999997</v>
      </c>
      <c r="F42" s="185">
        <f>'RES Calculations &amp; References '!F127</f>
        <v>2987.76</v>
      </c>
      <c r="G42" s="185">
        <f>'RES Calculations &amp; References '!G127</f>
        <v>1742.7384</v>
      </c>
      <c r="H42" s="185">
        <f>'RES Calculations &amp; References '!H127</f>
        <v>2993.07</v>
      </c>
      <c r="I42" s="185">
        <f>'RES Calculations &amp; References '!I127</f>
        <v>869.93104460541383</v>
      </c>
      <c r="J42" s="185">
        <f>'RES Calculations &amp; References '!J127</f>
        <v>1544.8092452830188</v>
      </c>
      <c r="K42" s="185">
        <f>'RES Calculations &amp; References '!K127</f>
        <v>1449.63</v>
      </c>
      <c r="L42" s="185">
        <f>'RES Calculations &amp; References '!L127</f>
        <v>815.02199999999993</v>
      </c>
      <c r="M42" s="185">
        <f>'RES Calculations &amp; References '!M127</f>
        <v>1214.22</v>
      </c>
      <c r="N42" s="185">
        <f>'RES Calculations &amp; References '!N127</f>
        <v>2310.7350000000001</v>
      </c>
      <c r="O42" s="185">
        <f>'RES Calculations &amp; References '!O127</f>
        <v>1718.5896</v>
      </c>
      <c r="P42" s="185">
        <f>'RES Calculations &amp; References '!P127</f>
        <v>1228.3800000000001</v>
      </c>
      <c r="Q42" s="185">
        <f>'RES Calculations &amp; References '!Q127</f>
        <v>2159.4</v>
      </c>
      <c r="R42" s="185">
        <f>'RES Calculations &amp; References '!R127</f>
        <v>294.81659999999999</v>
      </c>
      <c r="S42" s="185">
        <f>'RES Calculations &amp; References '!S127</f>
        <v>1034.5650000000001</v>
      </c>
      <c r="T42" s="185">
        <f>'RES Calculations &amp; References '!T127</f>
        <v>828.10259999999994</v>
      </c>
      <c r="U42" s="185">
        <f>'RES Calculations &amp; References '!U127</f>
        <v>1374.405</v>
      </c>
      <c r="V42" s="185">
        <f>'RES Calculations &amp; References '!V127</f>
        <v>690.3</v>
      </c>
      <c r="W42" s="185">
        <f>'RES Calculations &amp; References '!W127</f>
        <v>25836.045689888426</v>
      </c>
      <c r="X42" s="185"/>
      <c r="Y42" s="185"/>
      <c r="Z42" s="167"/>
    </row>
    <row r="43" spans="1:26" s="184" customFormat="1">
      <c r="A43" s="463"/>
      <c r="B43" s="461"/>
      <c r="C43" s="186" t="s">
        <v>19</v>
      </c>
      <c r="D43" s="185">
        <f>'RES Calculations &amp; References '!D128</f>
        <v>24854.382281437694</v>
      </c>
      <c r="E43" s="185">
        <f>'RES Calculations &amp; References '!E128</f>
        <v>217.63907426828104</v>
      </c>
      <c r="F43" s="185">
        <f>'RES Calculations &amp; References '!F128</f>
        <v>129249.31833349222</v>
      </c>
      <c r="G43" s="185">
        <f>'RES Calculations &amp; References '!G128</f>
        <v>75390.175326532553</v>
      </c>
      <c r="H43" s="185">
        <f>'RES Calculations &amp; References '!H128</f>
        <v>129479.02683763942</v>
      </c>
      <c r="I43" s="185">
        <f>'RES Calculations &amp; References '!I128</f>
        <v>37632.873628535279</v>
      </c>
      <c r="J43" s="185">
        <f>'RES Calculations &amp; References '!J128</f>
        <v>66827.838215956683</v>
      </c>
      <c r="K43" s="185">
        <f>'RES Calculations &amp; References '!K128</f>
        <v>62710.421632186102</v>
      </c>
      <c r="L43" s="185">
        <f>'RES Calculations &amp; References '!L128</f>
        <v>35257.530031461523</v>
      </c>
      <c r="M43" s="185">
        <f>'RES Calculations &amp; References '!M128</f>
        <v>52526.677948326818</v>
      </c>
      <c r="N43" s="185">
        <f>'RES Calculations &amp; References '!N128</f>
        <v>99961.484054724002</v>
      </c>
      <c r="O43" s="185">
        <f>'RES Calculations &amp; References '!O128</f>
        <v>74345.507770044802</v>
      </c>
      <c r="P43" s="185">
        <f>'RES Calculations &amp; References '!P128</f>
        <v>53139.233959386023</v>
      </c>
      <c r="Q43" s="185">
        <f>'RES Calculations &amp; References '!Q128</f>
        <v>93414.791686528755</v>
      </c>
      <c r="R43" s="185">
        <f>'RES Calculations &amp; References '!R128</f>
        <v>12753.649752121268</v>
      </c>
      <c r="S43" s="185">
        <f>'RES Calculations &amp; References '!S128</f>
        <v>44754.873558013154</v>
      </c>
      <c r="T43" s="185">
        <f>'RES Calculations &amp; References '!T128</f>
        <v>35823.391624559066</v>
      </c>
      <c r="U43" s="185">
        <f>'RES Calculations &amp; References '!U128</f>
        <v>59456.217823434068</v>
      </c>
      <c r="V43" s="185">
        <f>'RES Calculations &amp; References '!V128</f>
        <v>29862.105539136239</v>
      </c>
      <c r="W43" s="185">
        <f>'RES Calculations &amp; References '!W128</f>
        <v>1117657.139077784</v>
      </c>
      <c r="X43" s="185"/>
      <c r="Y43" s="185"/>
      <c r="Z43" s="167"/>
    </row>
    <row r="44" spans="1:26" s="184" customFormat="1">
      <c r="A44" s="463"/>
      <c r="B44" s="461"/>
      <c r="C44" s="186" t="s">
        <v>17</v>
      </c>
      <c r="D44" s="185">
        <f>'RES Calculations &amp; References '!D129</f>
        <v>2761.5980312708552</v>
      </c>
      <c r="E44" s="185">
        <f>'RES Calculations &amp; References '!E129</f>
        <v>24.182119363142338</v>
      </c>
      <c r="F44" s="185">
        <f>'RES Calculations &amp; References '!F129</f>
        <v>14361.035370388025</v>
      </c>
      <c r="G44" s="185">
        <f>'RES Calculations &amp; References '!G129</f>
        <v>8376.6861473925073</v>
      </c>
      <c r="H44" s="185">
        <f>'RES Calculations &amp; References '!H129</f>
        <v>14386.558537515491</v>
      </c>
      <c r="I44" s="185">
        <f>'RES Calculations &amp; References '!I129</f>
        <v>4181.430403170586</v>
      </c>
      <c r="J44" s="185">
        <f>'RES Calculations &amp; References '!J129</f>
        <v>7425.3153573285208</v>
      </c>
      <c r="K44" s="185">
        <f>'RES Calculations &amp; References '!K129</f>
        <v>6967.8246257984565</v>
      </c>
      <c r="L44" s="185">
        <f>'RES Calculations &amp; References '!L129</f>
        <v>3917.5033368290588</v>
      </c>
      <c r="M44" s="185">
        <f>'RES Calculations &amp; References '!M129</f>
        <v>5836.2975498140913</v>
      </c>
      <c r="N44" s="185">
        <f>'RES Calculations &amp; References '!N129</f>
        <v>11106.831561636</v>
      </c>
      <c r="O44" s="185">
        <f>'RES Calculations &amp; References '!O129</f>
        <v>8260.6119744494226</v>
      </c>
      <c r="P44" s="185">
        <f>'RES Calculations &amp; References '!P129</f>
        <v>5904.3593288206694</v>
      </c>
      <c r="Q44" s="185">
        <f>'RES Calculations &amp; References '!Q129</f>
        <v>10379.421298503195</v>
      </c>
      <c r="R44" s="185">
        <f>'RES Calculations &amp; References '!R129</f>
        <v>1417.0721946801409</v>
      </c>
      <c r="S44" s="185">
        <f>'RES Calculations &amp; References '!S129</f>
        <v>4972.7637286681284</v>
      </c>
      <c r="T44" s="185">
        <f>'RES Calculations &amp; References '!T129</f>
        <v>3980.3768471732292</v>
      </c>
      <c r="U44" s="185">
        <f>'RES Calculations &amp; References '!U129</f>
        <v>6606.2464248260076</v>
      </c>
      <c r="V44" s="185">
        <f>'RES Calculations &amp; References '!V129</f>
        <v>3318.0117265706936</v>
      </c>
      <c r="W44" s="185">
        <f>'RES Calculations &amp; References '!W129</f>
        <v>124184.12656419823</v>
      </c>
      <c r="X44" s="185"/>
      <c r="Y44" s="185"/>
      <c r="Z44" s="167"/>
    </row>
    <row r="45" spans="1:26" s="184" customFormat="1">
      <c r="A45" s="463"/>
      <c r="B45" s="461"/>
      <c r="C45" s="186" t="s">
        <v>189</v>
      </c>
      <c r="D45" s="185">
        <f>'RES Calculations &amp; References '!D130</f>
        <v>0</v>
      </c>
      <c r="E45" s="185">
        <f>'RES Calculations &amp; References '!E130</f>
        <v>0</v>
      </c>
      <c r="F45" s="185">
        <f>'RES Calculations &amp; References '!F130</f>
        <v>0</v>
      </c>
      <c r="G45" s="185">
        <f>'RES Calculations &amp; References '!G130</f>
        <v>0</v>
      </c>
      <c r="H45" s="185">
        <f>'RES Calculations &amp; References '!H130</f>
        <v>0</v>
      </c>
      <c r="I45" s="185">
        <f>'RES Calculations &amp; References '!I130</f>
        <v>0</v>
      </c>
      <c r="J45" s="185">
        <f>'RES Calculations &amp; References '!J130</f>
        <v>0</v>
      </c>
      <c r="K45" s="185">
        <f>'RES Calculations &amp; References '!K130</f>
        <v>0</v>
      </c>
      <c r="L45" s="185">
        <f>'RES Calculations &amp; References '!L130</f>
        <v>0</v>
      </c>
      <c r="M45" s="185">
        <f>'RES Calculations &amp; References '!M130</f>
        <v>0</v>
      </c>
      <c r="N45" s="185">
        <f>'RES Calculations &amp; References '!N130</f>
        <v>0</v>
      </c>
      <c r="O45" s="185">
        <f>'RES Calculations &amp; References '!O130</f>
        <v>0</v>
      </c>
      <c r="P45" s="185">
        <f>'RES Calculations &amp; References '!P130</f>
        <v>0</v>
      </c>
      <c r="Q45" s="185">
        <f>'RES Calculations &amp; References '!Q130</f>
        <v>0</v>
      </c>
      <c r="R45" s="185">
        <f>'RES Calculations &amp; References '!R130</f>
        <v>0</v>
      </c>
      <c r="S45" s="185">
        <f>'RES Calculations &amp; References '!S130</f>
        <v>0</v>
      </c>
      <c r="T45" s="185">
        <f>'RES Calculations &amp; References '!T130</f>
        <v>0</v>
      </c>
      <c r="U45" s="185">
        <f>'RES Calculations &amp; References '!U130</f>
        <v>0</v>
      </c>
      <c r="V45" s="185">
        <f>'RES Calculations &amp; References '!V130</f>
        <v>0</v>
      </c>
      <c r="W45" s="185">
        <f>'RES Calculations &amp; References '!W130</f>
        <v>0</v>
      </c>
      <c r="X45" s="185"/>
      <c r="Y45" s="185"/>
      <c r="Z45" s="167"/>
    </row>
    <row r="46" spans="1:26" s="184" customFormat="1">
      <c r="A46" s="463"/>
      <c r="B46" s="461"/>
      <c r="C46" s="186" t="s">
        <v>188</v>
      </c>
      <c r="D46" s="185">
        <f>'RES Calculations &amp; References '!D131</f>
        <v>0</v>
      </c>
      <c r="E46" s="185">
        <f>'RES Calculations &amp; References '!E131</f>
        <v>0</v>
      </c>
      <c r="F46" s="185">
        <f>'RES Calculations &amp; References '!F131</f>
        <v>0</v>
      </c>
      <c r="G46" s="185">
        <f>'RES Calculations &amp; References '!G131</f>
        <v>0</v>
      </c>
      <c r="H46" s="185">
        <f>'RES Calculations &amp; References '!H131</f>
        <v>0</v>
      </c>
      <c r="I46" s="185">
        <f>'RES Calculations &amp; References '!I131</f>
        <v>0</v>
      </c>
      <c r="J46" s="185">
        <f>'RES Calculations &amp; References '!J131</f>
        <v>0</v>
      </c>
      <c r="K46" s="185">
        <f>'RES Calculations &amp; References '!K131</f>
        <v>0</v>
      </c>
      <c r="L46" s="185">
        <f>'RES Calculations &amp; References '!L131</f>
        <v>0</v>
      </c>
      <c r="M46" s="185">
        <f>'RES Calculations &amp; References '!M131</f>
        <v>0</v>
      </c>
      <c r="N46" s="185">
        <f>'RES Calculations &amp; References '!N131</f>
        <v>0</v>
      </c>
      <c r="O46" s="185">
        <f>'RES Calculations &amp; References '!O131</f>
        <v>0</v>
      </c>
      <c r="P46" s="185">
        <f>'RES Calculations &amp; References '!P131</f>
        <v>0</v>
      </c>
      <c r="Q46" s="185">
        <f>'RES Calculations &amp; References '!Q131</f>
        <v>0</v>
      </c>
      <c r="R46" s="185">
        <f>'RES Calculations &amp; References '!R131</f>
        <v>0</v>
      </c>
      <c r="S46" s="185">
        <f>'RES Calculations &amp; References '!S131</f>
        <v>0</v>
      </c>
      <c r="T46" s="185">
        <f>'RES Calculations &amp; References '!T131</f>
        <v>0</v>
      </c>
      <c r="U46" s="185">
        <f>'RES Calculations &amp; References '!U131</f>
        <v>0</v>
      </c>
      <c r="V46" s="185">
        <f>'RES Calculations &amp; References '!V131</f>
        <v>0</v>
      </c>
      <c r="W46" s="185">
        <f>'RES Calculations &amp; References '!W131</f>
        <v>0</v>
      </c>
      <c r="X46" s="185"/>
      <c r="Y46" s="185"/>
      <c r="Z46" s="167"/>
    </row>
    <row r="47" spans="1:26" s="184" customFormat="1">
      <c r="A47" s="463"/>
      <c r="B47" s="461"/>
      <c r="C47" s="186" t="s">
        <v>2</v>
      </c>
      <c r="D47" s="185">
        <f>'RES Calculations &amp; References '!D132</f>
        <v>0</v>
      </c>
      <c r="E47" s="185">
        <f>'RES Calculations &amp; References '!E132</f>
        <v>0</v>
      </c>
      <c r="F47" s="185">
        <f>'RES Calculations &amp; References '!F132</f>
        <v>0</v>
      </c>
      <c r="G47" s="185">
        <f>'RES Calculations &amp; References '!G132</f>
        <v>0</v>
      </c>
      <c r="H47" s="185">
        <f>'RES Calculations &amp; References '!H132</f>
        <v>0</v>
      </c>
      <c r="I47" s="185">
        <f>'RES Calculations &amp; References '!I132</f>
        <v>0</v>
      </c>
      <c r="J47" s="185">
        <f>'RES Calculations &amp; References '!J132</f>
        <v>0</v>
      </c>
      <c r="K47" s="185">
        <f>'RES Calculations &amp; References '!K132</f>
        <v>0</v>
      </c>
      <c r="L47" s="185">
        <f>'RES Calculations &amp; References '!L132</f>
        <v>0</v>
      </c>
      <c r="M47" s="185">
        <f>'RES Calculations &amp; References '!M132</f>
        <v>0</v>
      </c>
      <c r="N47" s="185">
        <f>'RES Calculations &amp; References '!N132</f>
        <v>0</v>
      </c>
      <c r="O47" s="185">
        <f>'RES Calculations &amp; References '!O132</f>
        <v>0</v>
      </c>
      <c r="P47" s="185">
        <f>'RES Calculations &amp; References '!P132</f>
        <v>0</v>
      </c>
      <c r="Q47" s="185">
        <f>'RES Calculations &amp; References '!Q132</f>
        <v>0</v>
      </c>
      <c r="R47" s="185">
        <f>'RES Calculations &amp; References '!R132</f>
        <v>0</v>
      </c>
      <c r="S47" s="185">
        <f>'RES Calculations &amp; References '!S132</f>
        <v>0</v>
      </c>
      <c r="T47" s="185">
        <f>'RES Calculations &amp; References '!T132</f>
        <v>0</v>
      </c>
      <c r="U47" s="185">
        <f>'RES Calculations &amp; References '!U132</f>
        <v>0</v>
      </c>
      <c r="V47" s="185">
        <f>'RES Calculations &amp; References '!V132</f>
        <v>0</v>
      </c>
      <c r="W47" s="185">
        <f>'RES Calculations &amp; References '!W132</f>
        <v>0</v>
      </c>
      <c r="X47" s="185"/>
      <c r="Y47" s="185"/>
      <c r="Z47" s="167"/>
    </row>
    <row r="48" spans="1:26" s="184" customFormat="1">
      <c r="A48" s="463"/>
      <c r="B48" s="462"/>
      <c r="C48" s="186" t="s">
        <v>187</v>
      </c>
      <c r="D48" s="185">
        <f>'RES Calculations &amp; References '!D133</f>
        <v>27615.980312708551</v>
      </c>
      <c r="E48" s="185">
        <f>'RES Calculations &amp; References '!E133</f>
        <v>241.82119363142337</v>
      </c>
      <c r="F48" s="185">
        <f>'RES Calculations &amp; References '!F133</f>
        <v>143610.35370388025</v>
      </c>
      <c r="G48" s="185">
        <f>'RES Calculations &amp; References '!G133</f>
        <v>83766.861473925062</v>
      </c>
      <c r="H48" s="185">
        <f>'RES Calculations &amp; References '!H133</f>
        <v>143865.58537515491</v>
      </c>
      <c r="I48" s="185">
        <f>'RES Calculations &amp; References '!I133</f>
        <v>41814.304031705862</v>
      </c>
      <c r="J48" s="185">
        <f>'RES Calculations &amp; References '!J133</f>
        <v>74253.153573285206</v>
      </c>
      <c r="K48" s="185">
        <f>'RES Calculations &amp; References '!K133</f>
        <v>69678.24625798456</v>
      </c>
      <c r="L48" s="185">
        <f>'RES Calculations &amp; References '!L133</f>
        <v>39175.033368290584</v>
      </c>
      <c r="M48" s="185">
        <f>'RES Calculations &amp; References '!M133</f>
        <v>58362.975498140906</v>
      </c>
      <c r="N48" s="185">
        <f>'RES Calculations &amp; References '!N133</f>
        <v>111068.31561635999</v>
      </c>
      <c r="O48" s="185">
        <f>'RES Calculations &amp; References '!O133</f>
        <v>82606.119744494223</v>
      </c>
      <c r="P48" s="185">
        <f>'RES Calculations &amp; References '!P133</f>
        <v>59043.593288206692</v>
      </c>
      <c r="Q48" s="185">
        <f>'RES Calculations &amp; References '!Q133</f>
        <v>103794.21298503195</v>
      </c>
      <c r="R48" s="185">
        <f>'RES Calculations &amp; References '!R133</f>
        <v>14170.721946801408</v>
      </c>
      <c r="S48" s="185">
        <f>'RES Calculations &amp; References '!S133</f>
        <v>49727.637286681282</v>
      </c>
      <c r="T48" s="185">
        <f>'RES Calculations &amp; References '!T133</f>
        <v>39803.768471732292</v>
      </c>
      <c r="U48" s="185">
        <f>'RES Calculations &amp; References '!U133</f>
        <v>66062.464248260076</v>
      </c>
      <c r="V48" s="185">
        <f>'RES Calculations &amp; References '!V133</f>
        <v>33180.117265706933</v>
      </c>
      <c r="W48" s="185">
        <f>'RES Calculations &amp; References '!W133</f>
        <v>1241841.2656419817</v>
      </c>
      <c r="X48" s="185"/>
      <c r="Y48" s="185"/>
      <c r="Z48" s="167"/>
    </row>
    <row r="49" spans="1:26" s="184" customFormat="1">
      <c r="A49" s="463"/>
      <c r="B49" s="457" t="s">
        <v>131</v>
      </c>
      <c r="C49" s="188" t="s">
        <v>184</v>
      </c>
      <c r="D49" s="188">
        <f>'RES Calculations &amp; References '!D134</f>
        <v>143.892</v>
      </c>
      <c r="E49" s="188">
        <f>'RES Calculations &amp; References '!E134</f>
        <v>1.26</v>
      </c>
      <c r="F49" s="188">
        <f>'RES Calculations &amp; References '!F134</f>
        <v>759.59999999999991</v>
      </c>
      <c r="G49" s="188">
        <f>'RES Calculations &amp; References '!G134</f>
        <v>436.464</v>
      </c>
      <c r="H49" s="188">
        <f>'RES Calculations &amp; References '!H134</f>
        <v>760.94999999999993</v>
      </c>
      <c r="I49" s="188">
        <f>'RES Calculations &amp; References '!I134</f>
        <v>221.16890964544416</v>
      </c>
      <c r="J49" s="188">
        <f>'RES Calculations &amp; References '!J134</f>
        <v>392.74811320754708</v>
      </c>
      <c r="K49" s="188">
        <f>'RES Calculations &amp; References '!K134</f>
        <v>368.54999999999995</v>
      </c>
      <c r="L49" s="188">
        <f>'RES Calculations &amp; References '!L134</f>
        <v>204.12</v>
      </c>
      <c r="M49" s="188">
        <f>'RES Calculations &amp; References '!M134</f>
        <v>308.7</v>
      </c>
      <c r="N49" s="188">
        <f>'RES Calculations &amp; References '!N134</f>
        <v>587.47499999999991</v>
      </c>
      <c r="O49" s="188">
        <f>'RES Calculations &amp; References '!O134</f>
        <v>430.416</v>
      </c>
      <c r="P49" s="188">
        <f>'RES Calculations &amp; References '!P134</f>
        <v>312.29999999999995</v>
      </c>
      <c r="Q49" s="188">
        <f>'RES Calculations &amp; References '!Q134</f>
        <v>549</v>
      </c>
      <c r="R49" s="188">
        <f>'RES Calculations &amp; References '!R134</f>
        <v>73.835999999999999</v>
      </c>
      <c r="S49" s="188">
        <f>'RES Calculations &amp; References '!S134</f>
        <v>263.02499999999998</v>
      </c>
      <c r="T49" s="188">
        <f>'RES Calculations &amp; References '!T134</f>
        <v>207.39600000000002</v>
      </c>
      <c r="U49" s="188">
        <f>'RES Calculations &amp; References '!U134</f>
        <v>349.42499999999995</v>
      </c>
      <c r="V49" s="188">
        <f>'RES Calculations &amp; References '!V134</f>
        <v>175.49999999999997</v>
      </c>
      <c r="W49" s="188">
        <f>'RES Calculations &amp; References '!W134</f>
        <v>6545.8260228529916</v>
      </c>
      <c r="X49" s="188"/>
      <c r="Y49" s="188"/>
      <c r="Z49" s="187"/>
    </row>
    <row r="50" spans="1:26" s="184" customFormat="1">
      <c r="A50" s="463"/>
      <c r="B50" s="458"/>
      <c r="C50" s="189" t="s">
        <v>19</v>
      </c>
      <c r="D50" s="188">
        <f>'RES Calculations &amp; References '!D135</f>
        <v>2272.6768996091137</v>
      </c>
      <c r="E50" s="188">
        <f>'RES Calculations &amp; References '!E135</f>
        <v>19.90084850796072</v>
      </c>
      <c r="F50" s="188">
        <f>'RES Calculations &amp; References '!F135</f>
        <v>11997.368671942033</v>
      </c>
      <c r="G50" s="188">
        <f>'RES Calculations &amp; References '!G135</f>
        <v>6893.6539231575916</v>
      </c>
      <c r="H50" s="188">
        <f>'RES Calculations &amp; References '!H135</f>
        <v>12018.691009629132</v>
      </c>
      <c r="I50" s="188">
        <f>'RES Calculations &amp; References '!I135</f>
        <v>3493.2134647022513</v>
      </c>
      <c r="J50" s="188">
        <f>'RES Calculations &amp; References '!J135</f>
        <v>6203.1910339133346</v>
      </c>
      <c r="K50" s="188">
        <f>'RES Calculations &amp; References '!K135</f>
        <v>5820.9981885785091</v>
      </c>
      <c r="L50" s="188">
        <f>'RES Calculations &amp; References '!L135</f>
        <v>3223.9374582896367</v>
      </c>
      <c r="M50" s="188">
        <f>'RES Calculations &amp; References '!M135</f>
        <v>4875.7078844503749</v>
      </c>
      <c r="N50" s="188">
        <f>'RES Calculations &amp; References '!N135</f>
        <v>9278.770616836684</v>
      </c>
      <c r="O50" s="188">
        <f>'RES Calculations &amp; References '!O135</f>
        <v>6798.1298503193821</v>
      </c>
      <c r="P50" s="188">
        <f>'RES Calculations &amp; References '!P135</f>
        <v>4932.567451615977</v>
      </c>
      <c r="Q50" s="188">
        <f>'RES Calculations &amp; References '!Q135</f>
        <v>8671.0839927543129</v>
      </c>
      <c r="R50" s="188">
        <f>'RES Calculations &amp; References '!R135</f>
        <v>1166.1897225664982</v>
      </c>
      <c r="S50" s="188">
        <f>'RES Calculations &amp; References '!S135</f>
        <v>4154.3021260368005</v>
      </c>
      <c r="T50" s="188">
        <f>'RES Calculations &amp; References '!T135</f>
        <v>3275.6796644103347</v>
      </c>
      <c r="U50" s="188">
        <f>'RES Calculations &amp; References '!U135</f>
        <v>5518.9317380112479</v>
      </c>
      <c r="V50" s="188">
        <f>'RES Calculations &amp; References '!V135</f>
        <v>2771.9038993230997</v>
      </c>
      <c r="W50" s="188">
        <f>'RES Calculations &amp; References '!W135</f>
        <v>103386.89844465426</v>
      </c>
      <c r="X50" s="188"/>
      <c r="Y50" s="188"/>
      <c r="Z50" s="187"/>
    </row>
    <row r="51" spans="1:26" s="184" customFormat="1">
      <c r="A51" s="463"/>
      <c r="B51" s="458"/>
      <c r="C51" s="189" t="s">
        <v>17</v>
      </c>
      <c r="D51" s="188">
        <f>'RES Calculations &amp; References '!D136</f>
        <v>544.16207455429492</v>
      </c>
      <c r="E51" s="188">
        <f>'RES Calculations &amp; References '!E136</f>
        <v>4.7649918962722859</v>
      </c>
      <c r="F51" s="188">
        <f>'RES Calculations &amp; References '!F136</f>
        <v>2872.6094003241487</v>
      </c>
      <c r="G51" s="188">
        <f>'RES Calculations &amp; References '!G136</f>
        <v>1650.5931928687194</v>
      </c>
      <c r="H51" s="188">
        <f>'RES Calculations &amp; References '!H136</f>
        <v>2877.7147487844404</v>
      </c>
      <c r="I51" s="188">
        <f>'RES Calculations &amp; References '!I136</f>
        <v>836.40322394279269</v>
      </c>
      <c r="J51" s="188">
        <f>'RES Calculations &amp; References '!J136</f>
        <v>1485.2710926271366</v>
      </c>
      <c r="K51" s="188">
        <f>'RES Calculations &amp; References '!K136</f>
        <v>1393.7601296596431</v>
      </c>
      <c r="L51" s="188">
        <f>'RES Calculations &amp; References '!L136</f>
        <v>771.92868719611022</v>
      </c>
      <c r="M51" s="188">
        <f>'RES Calculations &amp; References '!M136</f>
        <v>1167.4230145867098</v>
      </c>
      <c r="N51" s="188">
        <f>'RES Calculations &amp; References '!N136</f>
        <v>2221.6774716369528</v>
      </c>
      <c r="O51" s="188">
        <f>'RES Calculations &amp; References '!O136</f>
        <v>1627.7212317666128</v>
      </c>
      <c r="P51" s="188">
        <f>'RES Calculations &amp; References '!P136</f>
        <v>1181.0372771474877</v>
      </c>
      <c r="Q51" s="188">
        <f>'RES Calculations &amp; References '!Q136</f>
        <v>2076.1750405186385</v>
      </c>
      <c r="R51" s="188">
        <f>'RES Calculations &amp; References '!R136</f>
        <v>279.22852512155595</v>
      </c>
      <c r="S51" s="188">
        <f>'RES Calculations &amp; References '!S136</f>
        <v>994.69205834683964</v>
      </c>
      <c r="T51" s="188">
        <f>'RES Calculations &amp; References '!T136</f>
        <v>784.31766612641832</v>
      </c>
      <c r="U51" s="188">
        <f>'RES Calculations &amp; References '!U136</f>
        <v>1321.4343598055102</v>
      </c>
      <c r="V51" s="188">
        <f>'RES Calculations &amp; References '!V136</f>
        <v>663.6952998379254</v>
      </c>
      <c r="W51" s="188">
        <f>'RES Calculations &amp; References '!W136</f>
        <v>24754.609486748206</v>
      </c>
      <c r="X51" s="188"/>
      <c r="Y51" s="188"/>
      <c r="Z51" s="187"/>
    </row>
    <row r="52" spans="1:26" s="184" customFormat="1">
      <c r="A52" s="463"/>
      <c r="B52" s="458"/>
      <c r="C52" s="189" t="s">
        <v>189</v>
      </c>
      <c r="D52" s="188">
        <f>'RES Calculations &amp; References '!D137</f>
        <v>384.11440556773755</v>
      </c>
      <c r="E52" s="188">
        <f>'RES Calculations &amp; References '!E137</f>
        <v>3.3635236914863191</v>
      </c>
      <c r="F52" s="188">
        <f>'RES Calculations &amp; References '!F137</f>
        <v>2027.724282581752</v>
      </c>
      <c r="G52" s="188">
        <f>'RES Calculations &amp; References '!G137</f>
        <v>1165.1246067308607</v>
      </c>
      <c r="H52" s="188">
        <f>'RES Calculations &amp; References '!H137</f>
        <v>2031.328057965487</v>
      </c>
      <c r="I52" s="188">
        <f>'RES Calculations &amp; References '!I137</f>
        <v>590.40227572432423</v>
      </c>
      <c r="J52" s="188">
        <f>'RES Calculations &amp; References '!J137</f>
        <v>1048.4266536191551</v>
      </c>
      <c r="K52" s="188">
        <f>'RES Calculations &amp; References '!K137</f>
        <v>983.83067975974802</v>
      </c>
      <c r="L52" s="188">
        <f>'RES Calculations &amp; References '!L137</f>
        <v>544.89083802078369</v>
      </c>
      <c r="M52" s="188">
        <f>'RES Calculations &amp; References '!M137</f>
        <v>824.06330441414798</v>
      </c>
      <c r="N52" s="188">
        <f>'RES Calculations &amp; References '!N137</f>
        <v>1568.2429211554959</v>
      </c>
      <c r="O52" s="188">
        <f>'RES Calculations &amp; References '!O137</f>
        <v>1148.9796930117266</v>
      </c>
      <c r="P52" s="188">
        <f>'RES Calculations &amp; References '!P137</f>
        <v>833.67337210410881</v>
      </c>
      <c r="Q52" s="188">
        <f>'RES Calculations &amp; References '!Q137</f>
        <v>1465.5353227190387</v>
      </c>
      <c r="R52" s="188">
        <f>'RES Calculations &amp; References '!R137</f>
        <v>197.10248832109829</v>
      </c>
      <c r="S52" s="188">
        <f>'RES Calculations &amp; References '!S137</f>
        <v>702.13557059776906</v>
      </c>
      <c r="T52" s="188">
        <f>'RES Calculations &amp; References '!T137</f>
        <v>553.63599961864816</v>
      </c>
      <c r="U52" s="188">
        <f>'RES Calculations &amp; References '!U137</f>
        <v>932.77719515683066</v>
      </c>
      <c r="V52" s="188">
        <f>'RES Calculations &amp; References '!V137</f>
        <v>468.49079988559436</v>
      </c>
      <c r="W52" s="188">
        <f>'RES Calculations &amp; References '!W137</f>
        <v>17473.841990645797</v>
      </c>
      <c r="X52" s="188"/>
      <c r="Y52" s="188"/>
      <c r="Z52" s="187"/>
    </row>
    <row r="53" spans="1:26" s="184" customFormat="1">
      <c r="A53" s="463"/>
      <c r="B53" s="458"/>
      <c r="C53" s="189" t="s">
        <v>188</v>
      </c>
      <c r="D53" s="188">
        <f>'RES Calculations &amp; References '!D138</f>
        <v>0</v>
      </c>
      <c r="E53" s="188">
        <f>'RES Calculations &amp; References '!E138</f>
        <v>0</v>
      </c>
      <c r="F53" s="188">
        <f>'RES Calculations &amp; References '!F138</f>
        <v>0</v>
      </c>
      <c r="G53" s="188">
        <f>'RES Calculations &amp; References '!G138</f>
        <v>0</v>
      </c>
      <c r="H53" s="188">
        <f>'RES Calculations &amp; References '!H138</f>
        <v>0</v>
      </c>
      <c r="I53" s="188">
        <f>'RES Calculations &amp; References '!I138</f>
        <v>0</v>
      </c>
      <c r="J53" s="188">
        <f>'RES Calculations &amp; References '!J138</f>
        <v>0</v>
      </c>
      <c r="K53" s="188">
        <f>'RES Calculations &amp; References '!K138</f>
        <v>0</v>
      </c>
      <c r="L53" s="188">
        <f>'RES Calculations &amp; References '!L138</f>
        <v>0</v>
      </c>
      <c r="M53" s="188">
        <f>'RES Calculations &amp; References '!M138</f>
        <v>0</v>
      </c>
      <c r="N53" s="188">
        <f>'RES Calculations &amp; References '!N138</f>
        <v>0</v>
      </c>
      <c r="O53" s="188">
        <f>'RES Calculations &amp; References '!O138</f>
        <v>0</v>
      </c>
      <c r="P53" s="188">
        <f>'RES Calculations &amp; References '!P138</f>
        <v>0</v>
      </c>
      <c r="Q53" s="188">
        <f>'RES Calculations &amp; References '!Q138</f>
        <v>0</v>
      </c>
      <c r="R53" s="188">
        <f>'RES Calculations &amp; References '!R138</f>
        <v>0</v>
      </c>
      <c r="S53" s="188">
        <f>'RES Calculations &amp; References '!S138</f>
        <v>0</v>
      </c>
      <c r="T53" s="188">
        <f>'RES Calculations &amp; References '!T138</f>
        <v>0</v>
      </c>
      <c r="U53" s="188">
        <f>'RES Calculations &amp; References '!U138</f>
        <v>0</v>
      </c>
      <c r="V53" s="188">
        <f>'RES Calculations &amp; References '!V138</f>
        <v>0</v>
      </c>
      <c r="W53" s="188">
        <f>'RES Calculations &amp; References '!W138</f>
        <v>0</v>
      </c>
      <c r="X53" s="188"/>
      <c r="Y53" s="188"/>
      <c r="Z53" s="187"/>
    </row>
    <row r="54" spans="1:26" s="184" customFormat="1">
      <c r="A54" s="463"/>
      <c r="B54" s="458"/>
      <c r="C54" s="189" t="s">
        <v>2</v>
      </c>
      <c r="D54" s="188">
        <f>'RES Calculations &amp; References '!D139</f>
        <v>0</v>
      </c>
      <c r="E54" s="188">
        <f>'RES Calculations &amp; References '!E139</f>
        <v>0</v>
      </c>
      <c r="F54" s="188">
        <f>'RES Calculations &amp; References '!F139</f>
        <v>0</v>
      </c>
      <c r="G54" s="188">
        <f>'RES Calculations &amp; References '!G139</f>
        <v>0</v>
      </c>
      <c r="H54" s="188">
        <f>'RES Calculations &amp; References '!H139</f>
        <v>0</v>
      </c>
      <c r="I54" s="188">
        <f>'RES Calculations &amp; References '!I139</f>
        <v>0</v>
      </c>
      <c r="J54" s="188">
        <f>'RES Calculations &amp; References '!J139</f>
        <v>0</v>
      </c>
      <c r="K54" s="188">
        <f>'RES Calculations &amp; References '!K139</f>
        <v>0</v>
      </c>
      <c r="L54" s="188">
        <f>'RES Calculations &amp; References '!L139</f>
        <v>0</v>
      </c>
      <c r="M54" s="188">
        <f>'RES Calculations &amp; References '!M139</f>
        <v>0</v>
      </c>
      <c r="N54" s="188">
        <f>'RES Calculations &amp; References '!N139</f>
        <v>0</v>
      </c>
      <c r="O54" s="188">
        <f>'RES Calculations &amp; References '!O139</f>
        <v>0</v>
      </c>
      <c r="P54" s="188">
        <f>'RES Calculations &amp; References '!P139</f>
        <v>0</v>
      </c>
      <c r="Q54" s="188">
        <f>'RES Calculations &amp; References '!Q139</f>
        <v>0</v>
      </c>
      <c r="R54" s="188">
        <f>'RES Calculations &amp; References '!R139</f>
        <v>0</v>
      </c>
      <c r="S54" s="188">
        <f>'RES Calculations &amp; References '!S139</f>
        <v>0</v>
      </c>
      <c r="T54" s="188">
        <f>'RES Calculations &amp; References '!T139</f>
        <v>0</v>
      </c>
      <c r="U54" s="188">
        <f>'RES Calculations &amp; References '!U139</f>
        <v>0</v>
      </c>
      <c r="V54" s="188">
        <f>'RES Calculations &amp; References '!V139</f>
        <v>0</v>
      </c>
      <c r="W54" s="188">
        <f>'RES Calculations &amp; References '!W139</f>
        <v>0</v>
      </c>
      <c r="X54" s="188"/>
      <c r="Y54" s="188"/>
      <c r="Z54" s="187"/>
    </row>
    <row r="55" spans="1:26" s="184" customFormat="1">
      <c r="A55" s="463"/>
      <c r="B55" s="459"/>
      <c r="C55" s="189" t="s">
        <v>187</v>
      </c>
      <c r="D55" s="188">
        <f>'RES Calculations &amp; References '!D140</f>
        <v>3200.9533797311465</v>
      </c>
      <c r="E55" s="188">
        <f>'RES Calculations &amp; References '!E140</f>
        <v>28.029364095719327</v>
      </c>
      <c r="F55" s="188">
        <f>'RES Calculations &amp; References '!F140</f>
        <v>16897.702354847934</v>
      </c>
      <c r="G55" s="188">
        <f>'RES Calculations &amp; References '!G140</f>
        <v>9709.3717227571724</v>
      </c>
      <c r="H55" s="188">
        <f>'RES Calculations &amp; References '!H140</f>
        <v>16927.733816379059</v>
      </c>
      <c r="I55" s="188">
        <f>'RES Calculations &amp; References '!I140</f>
        <v>4920.0189643693684</v>
      </c>
      <c r="J55" s="188">
        <f>'RES Calculations &amp; References '!J140</f>
        <v>8736.8887801596265</v>
      </c>
      <c r="K55" s="188">
        <f>'RES Calculations &amp; References '!K140</f>
        <v>8198.5889979979002</v>
      </c>
      <c r="L55" s="188">
        <f>'RES Calculations &amp; References '!L140</f>
        <v>4540.7569835065306</v>
      </c>
      <c r="M55" s="188">
        <f>'RES Calculations &amp; References '!M140</f>
        <v>6867.1942034512331</v>
      </c>
      <c r="N55" s="188">
        <f>'RES Calculations &amp; References '!N140</f>
        <v>13068.691009629132</v>
      </c>
      <c r="O55" s="188">
        <f>'RES Calculations &amp; References '!O140</f>
        <v>9574.8307750977219</v>
      </c>
      <c r="P55" s="188">
        <f>'RES Calculations &amp; References '!P140</f>
        <v>6947.2781008675738</v>
      </c>
      <c r="Q55" s="188">
        <f>'RES Calculations &amp; References '!Q140</f>
        <v>12212.79435599199</v>
      </c>
      <c r="R55" s="188">
        <f>'RES Calculations &amp; References '!R140</f>
        <v>1642.5207360091524</v>
      </c>
      <c r="S55" s="188">
        <f>'RES Calculations &amp; References '!S140</f>
        <v>5851.129754981409</v>
      </c>
      <c r="T55" s="188">
        <f>'RES Calculations &amp; References '!T140</f>
        <v>4613.6333301554014</v>
      </c>
      <c r="U55" s="188">
        <f>'RES Calculations &amp; References '!U140</f>
        <v>7773.1432929735893</v>
      </c>
      <c r="V55" s="188">
        <f>'RES Calculations &amp; References '!V140</f>
        <v>3904.0899990466196</v>
      </c>
      <c r="W55" s="188">
        <f>'RES Calculations &amp; References '!W140</f>
        <v>145615.34992204831</v>
      </c>
      <c r="X55" s="188"/>
      <c r="Y55" s="188"/>
      <c r="Z55" s="187"/>
    </row>
    <row r="56" spans="1:26" s="184" customFormat="1">
      <c r="A56" s="463"/>
      <c r="B56" s="460" t="s">
        <v>178</v>
      </c>
      <c r="C56" s="185" t="s">
        <v>184</v>
      </c>
      <c r="D56" s="185">
        <f>'RES Calculations &amp; References '!D141</f>
        <v>124.7064</v>
      </c>
      <c r="E56" s="185">
        <f>'RES Calculations &amp; References '!E141</f>
        <v>1.0920000000000001</v>
      </c>
      <c r="F56" s="185">
        <f>'RES Calculations &amp; References '!F141</f>
        <v>658.32</v>
      </c>
      <c r="G56" s="185">
        <f>'RES Calculations &amp; References '!G141</f>
        <v>378.2688</v>
      </c>
      <c r="H56" s="185">
        <f>'RES Calculations &amp; References '!H141</f>
        <v>659.49</v>
      </c>
      <c r="I56" s="185">
        <f>'RES Calculations &amp; References '!I141</f>
        <v>191.67972169271832</v>
      </c>
      <c r="J56" s="185">
        <f>'RES Calculations &amp; References '!J141</f>
        <v>340.38169811320751</v>
      </c>
      <c r="K56" s="185">
        <f>'RES Calculations &amp; References '!K141</f>
        <v>319.41000000000003</v>
      </c>
      <c r="L56" s="185">
        <f>'RES Calculations &amp; References '!L141</f>
        <v>176.904</v>
      </c>
      <c r="M56" s="185">
        <f>'RES Calculations &amp; References '!M141</f>
        <v>267.54000000000002</v>
      </c>
      <c r="N56" s="185">
        <f>'RES Calculations &amp; References '!N141</f>
        <v>509.14500000000004</v>
      </c>
      <c r="O56" s="185">
        <f>'RES Calculations &amp; References '!O141</f>
        <v>373.02719999999999</v>
      </c>
      <c r="P56" s="185">
        <f>'RES Calculations &amp; References '!P141</f>
        <v>270.66000000000003</v>
      </c>
      <c r="Q56" s="185">
        <f>'RES Calculations &amp; References '!Q141</f>
        <v>475.8</v>
      </c>
      <c r="R56" s="185">
        <f>'RES Calculations &amp; References '!R141</f>
        <v>63.991200000000006</v>
      </c>
      <c r="S56" s="185">
        <f>'RES Calculations &amp; References '!S141</f>
        <v>227.95500000000001</v>
      </c>
      <c r="T56" s="185">
        <f>'RES Calculations &amp; References '!T141</f>
        <v>179.7432</v>
      </c>
      <c r="U56" s="185">
        <f>'RES Calculations &amp; References '!U141</f>
        <v>302.83500000000004</v>
      </c>
      <c r="V56" s="185">
        <f>'RES Calculations &amp; References '!V141</f>
        <v>152.1</v>
      </c>
      <c r="W56" s="185">
        <f>'RES Calculations &amp; References '!W141</f>
        <v>5673.0492198059264</v>
      </c>
      <c r="X56" s="185"/>
      <c r="Y56" s="185"/>
      <c r="Z56" s="167"/>
    </row>
    <row r="57" spans="1:26" s="184" customFormat="1">
      <c r="A57" s="463"/>
      <c r="B57" s="461"/>
      <c r="C57" s="186" t="s">
        <v>19</v>
      </c>
      <c r="D57" s="185">
        <f>'RES Calculations &amp; References '!D142</f>
        <v>1931.9846841548288</v>
      </c>
      <c r="E57" s="185">
        <f>'RES Calculations &amp; References '!E142</f>
        <v>16.917554151968726</v>
      </c>
      <c r="F57" s="185">
        <f>'RES Calculations &amp; References '!F142</f>
        <v>10198.868360186863</v>
      </c>
      <c r="G57" s="185">
        <f>'RES Calculations &amp; References '!G142</f>
        <v>5860.2407582419673</v>
      </c>
      <c r="H57" s="185">
        <f>'RES Calculations &amp; References '!H142</f>
        <v>10216.994311063972</v>
      </c>
      <c r="I57" s="185">
        <f>'RES Calculations &amp; References '!I142</f>
        <v>2969.5531790941923</v>
      </c>
      <c r="J57" s="185">
        <f>'RES Calculations &amp; References '!J142</f>
        <v>5273.2837089462091</v>
      </c>
      <c r="K57" s="185">
        <f>'RES Calculations &amp; References '!K142</f>
        <v>4948.384589450854</v>
      </c>
      <c r="L57" s="185">
        <f>'RES Calculations &amp; References '!L142</f>
        <v>2740.6437726189338</v>
      </c>
      <c r="M57" s="185">
        <f>'RES Calculations &amp; References '!M142</f>
        <v>4144.8007672323392</v>
      </c>
      <c r="N57" s="185">
        <f>'RES Calculations &amp; References '!N142</f>
        <v>7887.8096233554188</v>
      </c>
      <c r="O57" s="185">
        <f>'RES Calculations &amp; References '!O142</f>
        <v>5779.0364983125173</v>
      </c>
      <c r="P57" s="185">
        <f>'RES Calculations &amp; References '!P142</f>
        <v>4193.136636237964</v>
      </c>
      <c r="Q57" s="185">
        <f>'RES Calculations &amp; References '!Q142</f>
        <v>7371.2200233578033</v>
      </c>
      <c r="R57" s="185">
        <f>'RES Calculations &amp; References '!R142</f>
        <v>991.36867330536768</v>
      </c>
      <c r="S57" s="185">
        <f>'RES Calculations &amp; References '!S142</f>
        <v>3531.5394292234719</v>
      </c>
      <c r="T57" s="185">
        <f>'RES Calculations &amp; References '!T142</f>
        <v>2784.629413414053</v>
      </c>
      <c r="U57" s="185">
        <f>'RES Calculations &amp; References '!U142</f>
        <v>4691.6002853584723</v>
      </c>
      <c r="V57" s="185">
        <f>'RES Calculations &amp; References '!V142</f>
        <v>2356.3736140242158</v>
      </c>
      <c r="W57" s="185">
        <f>'RES Calculations &amp; References '!W142</f>
        <v>87888.385881731389</v>
      </c>
      <c r="X57" s="185"/>
      <c r="Y57" s="185"/>
      <c r="Z57" s="167"/>
    </row>
    <row r="58" spans="1:26" s="184" customFormat="1">
      <c r="A58" s="463"/>
      <c r="B58" s="461"/>
      <c r="C58" s="186" t="s">
        <v>17</v>
      </c>
      <c r="D58" s="185">
        <f>'RES Calculations &amp; References '!D143</f>
        <v>0</v>
      </c>
      <c r="E58" s="185">
        <f>'RES Calculations &amp; References '!E143</f>
        <v>0</v>
      </c>
      <c r="F58" s="185">
        <f>'RES Calculations &amp; References '!F143</f>
        <v>0</v>
      </c>
      <c r="G58" s="185">
        <f>'RES Calculations &amp; References '!G143</f>
        <v>0</v>
      </c>
      <c r="H58" s="185">
        <f>'RES Calculations &amp; References '!H143</f>
        <v>0</v>
      </c>
      <c r="I58" s="185">
        <f>'RES Calculations &amp; References '!I143</f>
        <v>0</v>
      </c>
      <c r="J58" s="185">
        <f>'RES Calculations &amp; References '!J143</f>
        <v>0</v>
      </c>
      <c r="K58" s="185">
        <f>'RES Calculations &amp; References '!K143</f>
        <v>0</v>
      </c>
      <c r="L58" s="185">
        <f>'RES Calculations &amp; References '!L143</f>
        <v>0</v>
      </c>
      <c r="M58" s="185">
        <f>'RES Calculations &amp; References '!M143</f>
        <v>0</v>
      </c>
      <c r="N58" s="185">
        <f>'RES Calculations &amp; References '!N143</f>
        <v>0</v>
      </c>
      <c r="O58" s="185">
        <f>'RES Calculations &amp; References '!O143</f>
        <v>0</v>
      </c>
      <c r="P58" s="185">
        <f>'RES Calculations &amp; References '!P143</f>
        <v>0</v>
      </c>
      <c r="Q58" s="185">
        <f>'RES Calculations &amp; References '!Q143</f>
        <v>0</v>
      </c>
      <c r="R58" s="185">
        <f>'RES Calculations &amp; References '!R143</f>
        <v>0</v>
      </c>
      <c r="S58" s="185">
        <f>'RES Calculations &amp; References '!S143</f>
        <v>0</v>
      </c>
      <c r="T58" s="185">
        <f>'RES Calculations &amp; References '!T143</f>
        <v>0</v>
      </c>
      <c r="U58" s="185">
        <f>'RES Calculations &amp; References '!U143</f>
        <v>0</v>
      </c>
      <c r="V58" s="185">
        <f>'RES Calculations &amp; References '!V143</f>
        <v>0</v>
      </c>
      <c r="W58" s="185">
        <f>'RES Calculations &amp; References '!W143</f>
        <v>0</v>
      </c>
      <c r="X58" s="185"/>
      <c r="Y58" s="185"/>
      <c r="Z58" s="167"/>
    </row>
    <row r="59" spans="1:26" s="184" customFormat="1">
      <c r="A59" s="463"/>
      <c r="B59" s="461"/>
      <c r="C59" s="186" t="s">
        <v>189</v>
      </c>
      <c r="D59" s="185">
        <f>'RES Calculations &amp; References '!D144</f>
        <v>0</v>
      </c>
      <c r="E59" s="185">
        <f>'RES Calculations &amp; References '!E144</f>
        <v>0</v>
      </c>
      <c r="F59" s="185">
        <f>'RES Calculations &amp; References '!F144</f>
        <v>0</v>
      </c>
      <c r="G59" s="185">
        <f>'RES Calculations &amp; References '!G144</f>
        <v>0</v>
      </c>
      <c r="H59" s="185">
        <f>'RES Calculations &amp; References '!H144</f>
        <v>0</v>
      </c>
      <c r="I59" s="185">
        <f>'RES Calculations &amp; References '!I144</f>
        <v>0</v>
      </c>
      <c r="J59" s="185">
        <f>'RES Calculations &amp; References '!J144</f>
        <v>0</v>
      </c>
      <c r="K59" s="185">
        <f>'RES Calculations &amp; References '!K144</f>
        <v>0</v>
      </c>
      <c r="L59" s="185">
        <f>'RES Calculations &amp; References '!L144</f>
        <v>0</v>
      </c>
      <c r="M59" s="185">
        <f>'RES Calculations &amp; References '!M144</f>
        <v>0</v>
      </c>
      <c r="N59" s="185">
        <f>'RES Calculations &amp; References '!N144</f>
        <v>0</v>
      </c>
      <c r="O59" s="185">
        <f>'RES Calculations &amp; References '!O144</f>
        <v>0</v>
      </c>
      <c r="P59" s="185">
        <f>'RES Calculations &amp; References '!P144</f>
        <v>0</v>
      </c>
      <c r="Q59" s="185">
        <f>'RES Calculations &amp; References '!Q144</f>
        <v>0</v>
      </c>
      <c r="R59" s="185">
        <f>'RES Calculations &amp; References '!R144</f>
        <v>0</v>
      </c>
      <c r="S59" s="185">
        <f>'RES Calculations &amp; References '!S144</f>
        <v>0</v>
      </c>
      <c r="T59" s="185">
        <f>'RES Calculations &amp; References '!T144</f>
        <v>0</v>
      </c>
      <c r="U59" s="185">
        <f>'RES Calculations &amp; References '!U144</f>
        <v>0</v>
      </c>
      <c r="V59" s="185">
        <f>'RES Calculations &amp; References '!V144</f>
        <v>0</v>
      </c>
      <c r="W59" s="185">
        <f>'RES Calculations &amp; References '!W144</f>
        <v>0</v>
      </c>
      <c r="X59" s="185"/>
      <c r="Y59" s="185"/>
      <c r="Z59" s="167"/>
    </row>
    <row r="60" spans="1:26" s="184" customFormat="1">
      <c r="A60" s="463"/>
      <c r="B60" s="461"/>
      <c r="C60" s="186" t="s">
        <v>188</v>
      </c>
      <c r="D60" s="185">
        <f>'RES Calculations &amp; References '!D145</f>
        <v>0</v>
      </c>
      <c r="E60" s="185">
        <f>'RES Calculations &amp; References '!E145</f>
        <v>0</v>
      </c>
      <c r="F60" s="185">
        <f>'RES Calculations &amp; References '!F145</f>
        <v>0</v>
      </c>
      <c r="G60" s="185">
        <f>'RES Calculations &amp; References '!G145</f>
        <v>0</v>
      </c>
      <c r="H60" s="185">
        <f>'RES Calculations &amp; References '!H145</f>
        <v>0</v>
      </c>
      <c r="I60" s="185">
        <f>'RES Calculations &amp; References '!I145</f>
        <v>0</v>
      </c>
      <c r="J60" s="185">
        <f>'RES Calculations &amp; References '!J145</f>
        <v>0</v>
      </c>
      <c r="K60" s="185">
        <f>'RES Calculations &amp; References '!K145</f>
        <v>0</v>
      </c>
      <c r="L60" s="185">
        <f>'RES Calculations &amp; References '!L145</f>
        <v>0</v>
      </c>
      <c r="M60" s="185">
        <f>'RES Calculations &amp; References '!M145</f>
        <v>0</v>
      </c>
      <c r="N60" s="185">
        <f>'RES Calculations &amp; References '!N145</f>
        <v>0</v>
      </c>
      <c r="O60" s="185">
        <f>'RES Calculations &amp; References '!O145</f>
        <v>0</v>
      </c>
      <c r="P60" s="185">
        <f>'RES Calculations &amp; References '!P145</f>
        <v>0</v>
      </c>
      <c r="Q60" s="185">
        <f>'RES Calculations &amp; References '!Q145</f>
        <v>0</v>
      </c>
      <c r="R60" s="185">
        <f>'RES Calculations &amp; References '!R145</f>
        <v>0</v>
      </c>
      <c r="S60" s="185">
        <f>'RES Calculations &amp; References '!S145</f>
        <v>0</v>
      </c>
      <c r="T60" s="185">
        <f>'RES Calculations &amp; References '!T145</f>
        <v>0</v>
      </c>
      <c r="U60" s="185">
        <f>'RES Calculations &amp; References '!U145</f>
        <v>0</v>
      </c>
      <c r="V60" s="185">
        <f>'RES Calculations &amp; References '!V145</f>
        <v>0</v>
      </c>
      <c r="W60" s="185">
        <f>'RES Calculations &amp; References '!W145</f>
        <v>0</v>
      </c>
      <c r="X60" s="185"/>
      <c r="Y60" s="185"/>
      <c r="Z60" s="167"/>
    </row>
    <row r="61" spans="1:26" s="184" customFormat="1">
      <c r="A61" s="463"/>
      <c r="B61" s="461"/>
      <c r="C61" s="186" t="s">
        <v>2</v>
      </c>
      <c r="D61" s="185">
        <f>'RES Calculations &amp; References '!D146</f>
        <v>0</v>
      </c>
      <c r="E61" s="185">
        <f>'RES Calculations &amp; References '!E146</f>
        <v>0</v>
      </c>
      <c r="F61" s="185">
        <f>'RES Calculations &amp; References '!F146</f>
        <v>0</v>
      </c>
      <c r="G61" s="185">
        <f>'RES Calculations &amp; References '!G146</f>
        <v>0</v>
      </c>
      <c r="H61" s="185">
        <f>'RES Calculations &amp; References '!H146</f>
        <v>0</v>
      </c>
      <c r="I61" s="185">
        <f>'RES Calculations &amp; References '!I146</f>
        <v>0</v>
      </c>
      <c r="J61" s="185">
        <f>'RES Calculations &amp; References '!J146</f>
        <v>0</v>
      </c>
      <c r="K61" s="185">
        <f>'RES Calculations &amp; References '!K146</f>
        <v>0</v>
      </c>
      <c r="L61" s="185">
        <f>'RES Calculations &amp; References '!L146</f>
        <v>0</v>
      </c>
      <c r="M61" s="185">
        <f>'RES Calculations &amp; References '!M146</f>
        <v>0</v>
      </c>
      <c r="N61" s="185">
        <f>'RES Calculations &amp; References '!N146</f>
        <v>0</v>
      </c>
      <c r="O61" s="185">
        <f>'RES Calculations &amp; References '!O146</f>
        <v>0</v>
      </c>
      <c r="P61" s="185">
        <f>'RES Calculations &amp; References '!P146</f>
        <v>0</v>
      </c>
      <c r="Q61" s="185">
        <f>'RES Calculations &amp; References '!Q146</f>
        <v>0</v>
      </c>
      <c r="R61" s="185">
        <f>'RES Calculations &amp; References '!R146</f>
        <v>0</v>
      </c>
      <c r="S61" s="185">
        <f>'RES Calculations &amp; References '!S146</f>
        <v>0</v>
      </c>
      <c r="T61" s="185">
        <f>'RES Calculations &amp; References '!T146</f>
        <v>0</v>
      </c>
      <c r="U61" s="185">
        <f>'RES Calculations &amp; References '!U146</f>
        <v>0</v>
      </c>
      <c r="V61" s="185">
        <f>'RES Calculations &amp; References '!V146</f>
        <v>0</v>
      </c>
      <c r="W61" s="185">
        <f>'RES Calculations &amp; References '!W146</f>
        <v>0</v>
      </c>
      <c r="X61" s="185"/>
      <c r="Y61" s="185"/>
      <c r="Z61" s="167"/>
    </row>
    <row r="62" spans="1:26" s="184" customFormat="1">
      <c r="A62" s="463"/>
      <c r="B62" s="462"/>
      <c r="C62" s="186" t="s">
        <v>187</v>
      </c>
      <c r="D62" s="185">
        <f>'RES Calculations &amp; References '!D147</f>
        <v>1932.0040041948705</v>
      </c>
      <c r="E62" s="185">
        <f>'RES Calculations &amp; References '!E147</f>
        <v>16.917723329202019</v>
      </c>
      <c r="F62" s="185">
        <f>'RES Calculations &amp; References '!F147</f>
        <v>10198.970349890362</v>
      </c>
      <c r="G62" s="185">
        <f>'RES Calculations &amp; References '!G147</f>
        <v>5860.2993612355795</v>
      </c>
      <c r="H62" s="185">
        <f>'RES Calculations &amp; References '!H147</f>
        <v>10217.096482028792</v>
      </c>
      <c r="I62" s="185">
        <f>'RES Calculations &amp; References '!I147</f>
        <v>2969.5828749229413</v>
      </c>
      <c r="J62" s="185">
        <f>'RES Calculations &amp; References '!J147</f>
        <v>5273.3364423106323</v>
      </c>
      <c r="K62" s="185">
        <f>'RES Calculations &amp; References '!K147</f>
        <v>4948.4340737915918</v>
      </c>
      <c r="L62" s="185">
        <f>'RES Calculations &amp; References '!L147</f>
        <v>2740.6711793307268</v>
      </c>
      <c r="M62" s="185">
        <f>'RES Calculations &amp; References '!M147</f>
        <v>4144.8422156544957</v>
      </c>
      <c r="N62" s="185">
        <f>'RES Calculations &amp; References '!N147</f>
        <v>7887.8885022404411</v>
      </c>
      <c r="O62" s="185">
        <f>'RES Calculations &amp; References '!O147</f>
        <v>5779.0942892554094</v>
      </c>
      <c r="P62" s="185">
        <f>'RES Calculations &amp; References '!P147</f>
        <v>4193.1785680236444</v>
      </c>
      <c r="Q62" s="185">
        <f>'RES Calculations &amp; References '!Q147</f>
        <v>7371.2937362951661</v>
      </c>
      <c r="R62" s="185">
        <f>'RES Calculations &amp; References '!R147</f>
        <v>991.3785870912385</v>
      </c>
      <c r="S62" s="185">
        <f>'RES Calculations &amp; References '!S147</f>
        <v>3531.5747449709215</v>
      </c>
      <c r="T62" s="185">
        <f>'RES Calculations &amp; References '!T147</f>
        <v>2784.6572599866527</v>
      </c>
      <c r="U62" s="185">
        <f>'RES Calculations &amp; References '!U147</f>
        <v>4691.6472018304903</v>
      </c>
      <c r="V62" s="185">
        <f>'RES Calculations &amp; References '!V147</f>
        <v>2356.3971779959957</v>
      </c>
      <c r="W62" s="185">
        <f>'RES Calculations &amp; References '!W147</f>
        <v>87889.264774379146</v>
      </c>
      <c r="X62" s="185"/>
      <c r="Y62" s="185"/>
      <c r="Z62" s="167"/>
    </row>
  </sheetData>
  <mergeCells count="14">
    <mergeCell ref="B49:B55"/>
    <mergeCell ref="B56:B62"/>
    <mergeCell ref="A35:A62"/>
    <mergeCell ref="B5:B9"/>
    <mergeCell ref="B10:B12"/>
    <mergeCell ref="B14:B19"/>
    <mergeCell ref="B20:B21"/>
    <mergeCell ref="B22:B23"/>
    <mergeCell ref="B25:B29"/>
    <mergeCell ref="B30:B32"/>
    <mergeCell ref="A5:A34"/>
    <mergeCell ref="B33:B34"/>
    <mergeCell ref="B35:B41"/>
    <mergeCell ref="B42:B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U148"/>
  <sheetViews>
    <sheetView showGridLines="0" zoomScale="60" zoomScaleNormal="60" workbookViewId="0">
      <selection activeCell="V23" sqref="V23"/>
    </sheetView>
  </sheetViews>
  <sheetFormatPr defaultRowHeight="15"/>
  <cols>
    <col min="1" max="1" width="12.42578125" style="166" customWidth="1"/>
    <col min="2" max="2" width="27.140625" style="166" customWidth="1"/>
    <col min="3" max="3" width="34.140625" style="166" customWidth="1"/>
    <col min="4" max="4" width="27.28515625" style="166" customWidth="1"/>
    <col min="5" max="5" width="15.85546875" style="166" customWidth="1"/>
    <col min="6" max="6" width="29.7109375" style="166" customWidth="1"/>
    <col min="7" max="7" width="19.28515625" style="166" customWidth="1"/>
    <col min="8" max="8" width="28.42578125" style="166" customWidth="1"/>
    <col min="9" max="9" width="23.140625" style="166" customWidth="1"/>
    <col min="10" max="10" width="17.5703125" style="166" customWidth="1"/>
    <col min="11" max="13" width="10.5703125" style="166" bestFit="1" customWidth="1"/>
    <col min="14" max="15" width="11.5703125" style="166" bestFit="1" customWidth="1"/>
    <col min="16" max="16" width="12" style="166" customWidth="1"/>
    <col min="17" max="17" width="11.5703125" style="166" bestFit="1" customWidth="1"/>
    <col min="18" max="20" width="10.5703125" style="166" bestFit="1" customWidth="1"/>
    <col min="21" max="22" width="11.5703125" style="166" bestFit="1" customWidth="1"/>
    <col min="23" max="24" width="13.42578125" style="166" bestFit="1" customWidth="1"/>
    <col min="25" max="27" width="9.140625" style="166"/>
    <col min="28" max="28" width="16.5703125" style="166" customWidth="1"/>
    <col min="29" max="29" width="9.5703125" style="166" bestFit="1" customWidth="1"/>
    <col min="30" max="32" width="13.28515625" style="166" bestFit="1" customWidth="1"/>
    <col min="33" max="35" width="11.5703125" style="166" bestFit="1" customWidth="1"/>
    <col min="36" max="36" width="13.28515625" style="166" bestFit="1" customWidth="1"/>
    <col min="37" max="38" width="11.5703125" style="166" bestFit="1" customWidth="1"/>
    <col min="39" max="39" width="13.28515625" style="166" bestFit="1" customWidth="1"/>
    <col min="40" max="40" width="11.5703125" style="166" bestFit="1" customWidth="1"/>
    <col min="41" max="41" width="13.28515625" style="166" bestFit="1" customWidth="1"/>
    <col min="42" max="43" width="11.5703125" style="166" bestFit="1" customWidth="1"/>
    <col min="44" max="44" width="13.28515625" style="166" bestFit="1" customWidth="1"/>
    <col min="45" max="46" width="11.5703125" style="166" bestFit="1" customWidth="1"/>
    <col min="47" max="47" width="12.5703125" style="166" customWidth="1"/>
    <col min="48" max="16384" width="9.140625" style="166"/>
  </cols>
  <sheetData>
    <row r="1" spans="1:15" ht="27" thickBot="1">
      <c r="A1" s="162" t="s">
        <v>167</v>
      </c>
    </row>
    <row r="2" spans="1:15" ht="110.25" customHeight="1" thickBot="1">
      <c r="A2" s="473" t="s">
        <v>318</v>
      </c>
      <c r="B2" s="474"/>
      <c r="C2" s="474"/>
      <c r="D2" s="474"/>
      <c r="E2" s="474"/>
      <c r="F2" s="474"/>
      <c r="G2" s="474"/>
      <c r="H2" s="475"/>
    </row>
    <row r="4" spans="1:15">
      <c r="A4" s="166" t="s">
        <v>240</v>
      </c>
      <c r="B4" s="166" t="s">
        <v>317</v>
      </c>
    </row>
    <row r="5" spans="1:15">
      <c r="A5" s="317" t="s">
        <v>238</v>
      </c>
      <c r="B5" s="317" t="s">
        <v>316</v>
      </c>
      <c r="C5" s="317"/>
      <c r="D5" s="317"/>
      <c r="E5" s="317"/>
    </row>
    <row r="6" spans="1:15">
      <c r="B6" s="316"/>
      <c r="C6" s="316" t="s">
        <v>315</v>
      </c>
      <c r="D6" s="316" t="s">
        <v>314</v>
      </c>
      <c r="E6" s="315"/>
      <c r="F6" s="314" t="s">
        <v>313</v>
      </c>
      <c r="G6" s="313"/>
      <c r="H6" s="313"/>
    </row>
    <row r="7" spans="1:15" ht="96" customHeight="1">
      <c r="A7" s="230"/>
      <c r="B7" s="312" t="s">
        <v>248</v>
      </c>
      <c r="C7" s="311" t="s">
        <v>312</v>
      </c>
      <c r="D7" s="311" t="s">
        <v>311</v>
      </c>
      <c r="E7" s="310" t="s">
        <v>310</v>
      </c>
      <c r="F7" s="310" t="s">
        <v>309</v>
      </c>
      <c r="G7" s="310" t="s">
        <v>308</v>
      </c>
      <c r="H7" s="310" t="s">
        <v>307</v>
      </c>
      <c r="I7" s="309" t="s">
        <v>306</v>
      </c>
      <c r="J7" s="500" t="s">
        <v>267</v>
      </c>
      <c r="K7" s="501"/>
      <c r="L7" s="501"/>
      <c r="M7" s="501"/>
      <c r="N7" s="501"/>
      <c r="O7" s="502"/>
    </row>
    <row r="8" spans="1:15">
      <c r="A8" s="288"/>
      <c r="B8" s="301" t="s">
        <v>26</v>
      </c>
      <c r="C8" s="300">
        <v>4067392</v>
      </c>
      <c r="D8" s="300">
        <v>16306.4</v>
      </c>
      <c r="E8" s="299">
        <v>571</v>
      </c>
      <c r="F8" s="299">
        <f t="shared" ref="F8:F26" si="0">C8/E8</f>
        <v>7123.2784588441327</v>
      </c>
      <c r="G8" s="299">
        <f t="shared" ref="G8:G26" si="1">D8/E8</f>
        <v>28.557618213660245</v>
      </c>
      <c r="H8" s="298">
        <f t="shared" ref="H8:H26" si="2">G8/F8</f>
        <v>4.0090554340471733E-3</v>
      </c>
      <c r="I8" s="292">
        <f t="shared" ref="I8:I27" si="3">(F8/$F$27)-1</f>
        <v>2.6229105915196449E-3</v>
      </c>
      <c r="J8" s="308"/>
      <c r="K8" s="307"/>
      <c r="L8" s="307"/>
      <c r="M8" s="307"/>
      <c r="N8" s="307"/>
      <c r="O8" s="306"/>
    </row>
    <row r="9" spans="1:15">
      <c r="A9" s="288"/>
      <c r="B9" s="301" t="s">
        <v>27</v>
      </c>
      <c r="C9" s="300">
        <v>14937</v>
      </c>
      <c r="D9" s="300">
        <v>401.1</v>
      </c>
      <c r="E9" s="299">
        <v>5</v>
      </c>
      <c r="F9" s="299">
        <f t="shared" si="0"/>
        <v>2987.4</v>
      </c>
      <c r="G9" s="299">
        <f t="shared" si="1"/>
        <v>80.22</v>
      </c>
      <c r="H9" s="298">
        <f t="shared" si="2"/>
        <v>2.6852781683068889E-2</v>
      </c>
      <c r="I9" s="292">
        <f t="shared" si="3"/>
        <v>-0.57951444683700726</v>
      </c>
      <c r="J9" s="297" t="s">
        <v>305</v>
      </c>
      <c r="K9" s="230"/>
      <c r="L9" s="230"/>
      <c r="M9" s="230"/>
      <c r="N9" s="230"/>
      <c r="O9" s="296"/>
    </row>
    <row r="10" spans="1:15">
      <c r="A10" s="288"/>
      <c r="B10" s="305" t="s">
        <v>28</v>
      </c>
      <c r="C10" s="304">
        <v>85581711</v>
      </c>
      <c r="D10" s="304">
        <v>1698000</v>
      </c>
      <c r="E10" s="303">
        <v>16101</v>
      </c>
      <c r="F10" s="303">
        <f t="shared" si="0"/>
        <v>5315.3040804918946</v>
      </c>
      <c r="G10" s="303">
        <f t="shared" si="1"/>
        <v>105.45928824296628</v>
      </c>
      <c r="H10" s="302">
        <f t="shared" si="2"/>
        <v>1.9840687690854886E-2</v>
      </c>
      <c r="I10" s="292">
        <f t="shared" si="3"/>
        <v>-0.25185493187549479</v>
      </c>
      <c r="J10" s="297" t="s">
        <v>303</v>
      </c>
      <c r="K10" s="230"/>
      <c r="L10" s="230"/>
      <c r="M10" s="230"/>
      <c r="N10" s="230"/>
      <c r="O10" s="296"/>
    </row>
    <row r="11" spans="1:15">
      <c r="A11" s="288"/>
      <c r="B11" s="301" t="s">
        <v>29</v>
      </c>
      <c r="C11" s="300">
        <v>15324571</v>
      </c>
      <c r="D11" s="300">
        <v>369036.9</v>
      </c>
      <c r="E11" s="299">
        <v>1732</v>
      </c>
      <c r="F11" s="299">
        <f t="shared" si="0"/>
        <v>8847.9047344110859</v>
      </c>
      <c r="G11" s="299">
        <f t="shared" si="1"/>
        <v>213.06980369515014</v>
      </c>
      <c r="H11" s="298">
        <f t="shared" si="2"/>
        <v>2.4081385377770121E-2</v>
      </c>
      <c r="I11" s="292">
        <f t="shared" si="3"/>
        <v>0.24536925640433416</v>
      </c>
      <c r="J11" s="297" t="s">
        <v>304</v>
      </c>
      <c r="K11" s="230"/>
      <c r="L11" s="230"/>
      <c r="M11" s="230"/>
      <c r="N11" s="230"/>
      <c r="O11" s="296"/>
    </row>
    <row r="12" spans="1:15">
      <c r="A12" s="288"/>
      <c r="B12" s="301" t="s">
        <v>30</v>
      </c>
      <c r="C12" s="300">
        <v>48696069</v>
      </c>
      <c r="D12" s="300">
        <v>2911173.7</v>
      </c>
      <c r="E12" s="299">
        <v>7051</v>
      </c>
      <c r="F12" s="299">
        <f t="shared" si="0"/>
        <v>6906.2642178414408</v>
      </c>
      <c r="G12" s="299">
        <f t="shared" si="1"/>
        <v>412.87387604595096</v>
      </c>
      <c r="H12" s="298">
        <f t="shared" si="2"/>
        <v>5.9782519611593296E-2</v>
      </c>
      <c r="I12" s="292">
        <f t="shared" si="3"/>
        <v>-2.7922497848014483E-2</v>
      </c>
      <c r="J12" s="297"/>
      <c r="K12" s="230"/>
      <c r="L12" s="230"/>
      <c r="M12" s="230"/>
      <c r="N12" s="230"/>
      <c r="O12" s="296"/>
    </row>
    <row r="13" spans="1:15">
      <c r="A13" s="288"/>
      <c r="B13" s="301" t="s">
        <v>31</v>
      </c>
      <c r="C13" s="300">
        <v>24561712</v>
      </c>
      <c r="D13" s="300">
        <v>565411</v>
      </c>
      <c r="E13" s="299">
        <v>3231</v>
      </c>
      <c r="F13" s="299">
        <f t="shared" si="0"/>
        <v>7601.891674404209</v>
      </c>
      <c r="G13" s="299">
        <f t="shared" si="1"/>
        <v>174.99566697616837</v>
      </c>
      <c r="H13" s="298">
        <f t="shared" si="2"/>
        <v>2.3020015868600689E-2</v>
      </c>
      <c r="I13" s="292">
        <f t="shared" si="3"/>
        <v>6.9989163083953532E-2</v>
      </c>
      <c r="J13" s="297"/>
      <c r="K13" s="230"/>
      <c r="L13" s="230"/>
      <c r="M13" s="230"/>
      <c r="N13" s="230"/>
      <c r="O13" s="296"/>
    </row>
    <row r="14" spans="1:15">
      <c r="A14" s="288"/>
      <c r="B14" s="301" t="s">
        <v>32</v>
      </c>
      <c r="C14" s="300">
        <v>31415140</v>
      </c>
      <c r="D14" s="300">
        <v>1059810.8</v>
      </c>
      <c r="E14" s="299">
        <v>4638</v>
      </c>
      <c r="F14" s="299">
        <f t="shared" si="0"/>
        <v>6773.4238896075894</v>
      </c>
      <c r="G14" s="299">
        <f t="shared" si="1"/>
        <v>228.50599396291506</v>
      </c>
      <c r="H14" s="298">
        <f t="shared" si="2"/>
        <v>3.3735670125932912E-2</v>
      </c>
      <c r="I14" s="292">
        <f t="shared" si="3"/>
        <v>-4.6620174389409796E-2</v>
      </c>
      <c r="J14" s="297"/>
      <c r="K14" s="230"/>
      <c r="L14" s="230"/>
      <c r="M14" s="230"/>
      <c r="N14" s="230"/>
      <c r="O14" s="296"/>
    </row>
    <row r="15" spans="1:15">
      <c r="A15" s="288"/>
      <c r="B15" s="301" t="s">
        <v>33</v>
      </c>
      <c r="C15" s="300">
        <v>13698115</v>
      </c>
      <c r="D15" s="300">
        <v>197754.4</v>
      </c>
      <c r="E15" s="299">
        <v>1872</v>
      </c>
      <c r="F15" s="299">
        <f t="shared" si="0"/>
        <v>7317.369123931624</v>
      </c>
      <c r="G15" s="299">
        <f t="shared" si="1"/>
        <v>105.63803418803418</v>
      </c>
      <c r="H15" s="298">
        <f t="shared" si="2"/>
        <v>1.4436614088872811E-2</v>
      </c>
      <c r="I15" s="292">
        <f t="shared" si="3"/>
        <v>2.9941756635935013E-2</v>
      </c>
      <c r="J15" s="297"/>
      <c r="K15" s="230"/>
      <c r="L15" s="230"/>
      <c r="M15" s="230"/>
      <c r="N15" s="230"/>
      <c r="O15" s="296"/>
    </row>
    <row r="16" spans="1:15">
      <c r="A16" s="288"/>
      <c r="B16" s="301" t="s">
        <v>34</v>
      </c>
      <c r="C16" s="300">
        <v>5721920</v>
      </c>
      <c r="D16" s="300">
        <v>76658.100000000006</v>
      </c>
      <c r="E16" s="299">
        <v>810</v>
      </c>
      <c r="F16" s="299">
        <f t="shared" si="0"/>
        <v>7064.0987654320988</v>
      </c>
      <c r="G16" s="299">
        <f t="shared" si="1"/>
        <v>94.639629629629638</v>
      </c>
      <c r="H16" s="298">
        <f t="shared" si="2"/>
        <v>1.3397268748951401E-2</v>
      </c>
      <c r="I16" s="292">
        <f t="shared" si="3"/>
        <v>-5.7068096067717233E-3</v>
      </c>
      <c r="J16" s="297"/>
      <c r="K16" s="230"/>
      <c r="L16" s="230"/>
      <c r="M16" s="230"/>
      <c r="N16" s="230"/>
      <c r="O16" s="296"/>
    </row>
    <row r="17" spans="1:47">
      <c r="A17" s="288"/>
      <c r="B17" s="301" t="s">
        <v>35</v>
      </c>
      <c r="C17" s="300">
        <v>15249432</v>
      </c>
      <c r="D17" s="300">
        <v>327000.2</v>
      </c>
      <c r="E17" s="299">
        <v>1916</v>
      </c>
      <c r="F17" s="299">
        <f t="shared" si="0"/>
        <v>7958.993736951983</v>
      </c>
      <c r="G17" s="299">
        <f t="shared" si="1"/>
        <v>170.66816283924845</v>
      </c>
      <c r="H17" s="298">
        <f t="shared" si="2"/>
        <v>2.144343474563512E-2</v>
      </c>
      <c r="I17" s="292">
        <f t="shared" si="3"/>
        <v>0.1202523545902956</v>
      </c>
      <c r="J17" s="297"/>
      <c r="K17" s="230"/>
      <c r="L17" s="230"/>
      <c r="M17" s="230"/>
      <c r="N17" s="230"/>
      <c r="O17" s="296"/>
    </row>
    <row r="18" spans="1:47">
      <c r="A18" s="288"/>
      <c r="B18" s="301" t="s">
        <v>36</v>
      </c>
      <c r="C18" s="300">
        <v>32653197</v>
      </c>
      <c r="D18" s="300">
        <v>801409.2</v>
      </c>
      <c r="E18" s="299">
        <v>4211</v>
      </c>
      <c r="F18" s="299">
        <f t="shared" si="0"/>
        <v>7754.2619330325342</v>
      </c>
      <c r="G18" s="299">
        <f t="shared" si="1"/>
        <v>190.31327475658986</v>
      </c>
      <c r="H18" s="298">
        <f t="shared" si="2"/>
        <v>2.4543054696910684E-2</v>
      </c>
      <c r="I18" s="292">
        <f t="shared" si="3"/>
        <v>9.1435736185955241E-2</v>
      </c>
      <c r="J18" s="297"/>
      <c r="K18" s="230"/>
      <c r="L18" s="230"/>
      <c r="M18" s="230"/>
      <c r="N18" s="230"/>
      <c r="O18" s="296"/>
    </row>
    <row r="19" spans="1:47">
      <c r="A19" s="288"/>
      <c r="B19" s="301" t="s">
        <v>37</v>
      </c>
      <c r="C19" s="300">
        <v>13169921</v>
      </c>
      <c r="D19" s="300">
        <v>322023.09999999998</v>
      </c>
      <c r="E19" s="299">
        <v>1708</v>
      </c>
      <c r="F19" s="299">
        <f t="shared" si="0"/>
        <v>7710.7265807962531</v>
      </c>
      <c r="G19" s="299">
        <f t="shared" si="1"/>
        <v>188.53811475409836</v>
      </c>
      <c r="H19" s="298">
        <f t="shared" si="2"/>
        <v>2.4451407111705528E-2</v>
      </c>
      <c r="I19" s="292">
        <f t="shared" si="3"/>
        <v>8.5308004155688621E-2</v>
      </c>
      <c r="J19" s="297"/>
      <c r="K19" s="230"/>
      <c r="L19" s="230"/>
      <c r="M19" s="230"/>
      <c r="N19" s="230"/>
      <c r="O19" s="296"/>
    </row>
    <row r="20" spans="1:47">
      <c r="A20" s="288"/>
      <c r="B20" s="301" t="s">
        <v>38</v>
      </c>
      <c r="C20" s="300">
        <v>24409693</v>
      </c>
      <c r="D20" s="300">
        <v>615620.9</v>
      </c>
      <c r="E20" s="299">
        <v>2787</v>
      </c>
      <c r="F20" s="299">
        <f t="shared" si="0"/>
        <v>8758.4115536419085</v>
      </c>
      <c r="G20" s="299">
        <f t="shared" si="1"/>
        <v>220.89016864011484</v>
      </c>
      <c r="H20" s="298">
        <f t="shared" si="2"/>
        <v>2.5220345868340092E-2</v>
      </c>
      <c r="I20" s="292">
        <f t="shared" si="3"/>
        <v>0.2327728215044067</v>
      </c>
      <c r="J20" s="297" t="s">
        <v>304</v>
      </c>
      <c r="K20" s="230"/>
      <c r="L20" s="230"/>
      <c r="M20" s="230"/>
      <c r="N20" s="230"/>
      <c r="O20" s="296"/>
    </row>
    <row r="21" spans="1:47">
      <c r="A21" s="288"/>
      <c r="B21" s="301" t="s">
        <v>39</v>
      </c>
      <c r="C21" s="300">
        <v>51222208</v>
      </c>
      <c r="D21" s="300">
        <v>2355945.6</v>
      </c>
      <c r="E21" s="299">
        <v>7807</v>
      </c>
      <c r="F21" s="299">
        <f t="shared" si="0"/>
        <v>6561.0616113744072</v>
      </c>
      <c r="G21" s="299">
        <f t="shared" si="1"/>
        <v>301.7734853336749</v>
      </c>
      <c r="H21" s="298">
        <f t="shared" si="2"/>
        <v>4.5994612336898874E-2</v>
      </c>
      <c r="I21" s="292">
        <f t="shared" si="3"/>
        <v>-7.6510805049459729E-2</v>
      </c>
      <c r="J21" s="297"/>
      <c r="K21" s="230"/>
      <c r="L21" s="230"/>
      <c r="M21" s="230"/>
      <c r="N21" s="230"/>
      <c r="O21" s="296"/>
    </row>
    <row r="22" spans="1:47">
      <c r="A22" s="288"/>
      <c r="B22" s="301" t="s">
        <v>40</v>
      </c>
      <c r="C22" s="300">
        <v>2196267</v>
      </c>
      <c r="D22" s="300">
        <v>108424.8</v>
      </c>
      <c r="E22" s="299">
        <v>293</v>
      </c>
      <c r="F22" s="299">
        <f t="shared" si="0"/>
        <v>7495.7918088737206</v>
      </c>
      <c r="G22" s="299">
        <f t="shared" si="1"/>
        <v>370.05051194539249</v>
      </c>
      <c r="H22" s="298">
        <f t="shared" si="2"/>
        <v>4.9367768126552913E-2</v>
      </c>
      <c r="I22" s="292">
        <f t="shared" si="3"/>
        <v>5.5055287256107643E-2</v>
      </c>
      <c r="J22" s="297"/>
      <c r="K22" s="230"/>
      <c r="L22" s="230"/>
      <c r="M22" s="230"/>
      <c r="N22" s="230"/>
      <c r="O22" s="296"/>
    </row>
    <row r="23" spans="1:47">
      <c r="A23" s="288"/>
      <c r="B23" s="301" t="s">
        <v>41</v>
      </c>
      <c r="C23" s="300">
        <v>9727605</v>
      </c>
      <c r="D23" s="300">
        <v>274383.09999999998</v>
      </c>
      <c r="E23" s="299">
        <v>1246</v>
      </c>
      <c r="F23" s="299">
        <f t="shared" si="0"/>
        <v>7807.0666131621192</v>
      </c>
      <c r="G23" s="299">
        <f t="shared" si="1"/>
        <v>220.21115569823434</v>
      </c>
      <c r="H23" s="298">
        <f t="shared" si="2"/>
        <v>2.8206644903858654E-2</v>
      </c>
      <c r="I23" s="292">
        <f t="shared" si="3"/>
        <v>9.8868154052288215E-2</v>
      </c>
      <c r="J23" s="297"/>
      <c r="K23" s="230"/>
      <c r="L23" s="230"/>
      <c r="M23" s="230"/>
      <c r="N23" s="230"/>
      <c r="O23" s="296"/>
    </row>
    <row r="24" spans="1:47">
      <c r="A24" s="288"/>
      <c r="B24" s="301" t="s">
        <v>42</v>
      </c>
      <c r="C24" s="300">
        <v>6710615</v>
      </c>
      <c r="D24" s="300">
        <v>99297.4</v>
      </c>
      <c r="E24" s="299">
        <v>823</v>
      </c>
      <c r="F24" s="299">
        <f t="shared" si="0"/>
        <v>8153.8456865127582</v>
      </c>
      <c r="G24" s="299">
        <f t="shared" si="1"/>
        <v>120.65297691373024</v>
      </c>
      <c r="H24" s="298">
        <f t="shared" si="2"/>
        <v>1.4797064054486808E-2</v>
      </c>
      <c r="I24" s="292">
        <f t="shared" si="3"/>
        <v>0.14767835371861793</v>
      </c>
      <c r="J24" s="297"/>
      <c r="K24" s="230"/>
      <c r="L24" s="230"/>
      <c r="M24" s="230"/>
      <c r="N24" s="230"/>
      <c r="O24" s="296"/>
    </row>
    <row r="25" spans="1:47">
      <c r="A25" s="288"/>
      <c r="B25" s="301" t="s">
        <v>43</v>
      </c>
      <c r="C25" s="300">
        <v>25722336</v>
      </c>
      <c r="D25" s="300">
        <v>736016.1</v>
      </c>
      <c r="E25" s="299">
        <v>3479</v>
      </c>
      <c r="F25" s="299">
        <f t="shared" si="0"/>
        <v>7393.6004599022708</v>
      </c>
      <c r="G25" s="299">
        <f t="shared" si="1"/>
        <v>211.55967231963209</v>
      </c>
      <c r="H25" s="298">
        <f t="shared" si="2"/>
        <v>2.8613890278083608E-2</v>
      </c>
      <c r="I25" s="292">
        <f t="shared" si="3"/>
        <v>4.0671546913089607E-2</v>
      </c>
      <c r="J25" s="297"/>
      <c r="K25" s="230"/>
      <c r="L25" s="230"/>
      <c r="M25" s="230"/>
      <c r="N25" s="230"/>
      <c r="O25" s="296"/>
    </row>
    <row r="26" spans="1:47">
      <c r="A26" s="288"/>
      <c r="B26" s="301" t="s">
        <v>44</v>
      </c>
      <c r="C26" s="300">
        <v>16339856</v>
      </c>
      <c r="D26" s="300">
        <v>462320.8</v>
      </c>
      <c r="E26" s="299">
        <v>2994</v>
      </c>
      <c r="F26" s="299">
        <f t="shared" si="0"/>
        <v>5457.5337341349368</v>
      </c>
      <c r="G26" s="299">
        <f t="shared" si="1"/>
        <v>154.41576486305945</v>
      </c>
      <c r="H26" s="298">
        <f t="shared" si="2"/>
        <v>2.8294055957408682E-2</v>
      </c>
      <c r="I26" s="292">
        <f t="shared" si="3"/>
        <v>-0.2318356794860339</v>
      </c>
      <c r="J26" s="297" t="s">
        <v>303</v>
      </c>
      <c r="K26" s="230"/>
      <c r="L26" s="230"/>
      <c r="M26" s="230"/>
      <c r="N26" s="230"/>
      <c r="O26" s="296"/>
    </row>
    <row r="27" spans="1:47">
      <c r="A27" s="288"/>
      <c r="B27" s="295" t="s">
        <v>23</v>
      </c>
      <c r="C27" s="265">
        <f>SUM(C8:C26)</f>
        <v>426482697</v>
      </c>
      <c r="D27" s="265">
        <f>SUM(D8:D26)</f>
        <v>12996993.6</v>
      </c>
      <c r="E27" s="265">
        <f>SUM(E8:E26)</f>
        <v>63275</v>
      </c>
      <c r="F27" s="294">
        <f>AVERAGE(F8:F26)</f>
        <v>7104.6436138603667</v>
      </c>
      <c r="G27" s="294">
        <f>AVERAGE(G8:G26)</f>
        <v>189.10701047464474</v>
      </c>
      <c r="H27" s="293">
        <f>AVERAGE(H8:H26)</f>
        <v>2.6846751405767005E-2</v>
      </c>
      <c r="I27" s="292">
        <f t="shared" si="3"/>
        <v>0</v>
      </c>
      <c r="J27" s="291"/>
      <c r="K27" s="290"/>
      <c r="L27" s="290"/>
      <c r="M27" s="290"/>
      <c r="N27" s="290"/>
      <c r="O27" s="289"/>
    </row>
    <row r="28" spans="1:47">
      <c r="A28" s="288"/>
      <c r="B28" s="287"/>
      <c r="C28" s="285"/>
      <c r="D28" s="285"/>
      <c r="E28" s="284"/>
      <c r="F28" s="284"/>
      <c r="G28" s="284"/>
      <c r="H28" s="283"/>
    </row>
    <row r="29" spans="1:47">
      <c r="A29" s="166" t="s">
        <v>240</v>
      </c>
      <c r="B29" s="286" t="s">
        <v>302</v>
      </c>
      <c r="C29" s="285"/>
      <c r="D29" s="285"/>
      <c r="E29" s="284"/>
      <c r="F29" s="284"/>
      <c r="G29" s="284"/>
      <c r="H29" s="283"/>
    </row>
    <row r="30" spans="1:47" ht="51" customHeight="1">
      <c r="A30" s="282" t="s">
        <v>301</v>
      </c>
      <c r="B30" s="479" t="s">
        <v>300</v>
      </c>
      <c r="C30" s="479"/>
      <c r="D30" s="479"/>
      <c r="E30" s="479"/>
      <c r="F30" s="479"/>
      <c r="G30" s="479"/>
      <c r="H30" s="479"/>
      <c r="I30" s="281"/>
    </row>
    <row r="31" spans="1:47" ht="15" customHeight="1">
      <c r="B31" s="490" t="s">
        <v>234</v>
      </c>
      <c r="C31" s="490"/>
      <c r="D31" s="489" t="s">
        <v>299</v>
      </c>
      <c r="E31" s="489"/>
      <c r="F31" s="489"/>
      <c r="G31" s="489"/>
      <c r="H31" s="478" t="s">
        <v>298</v>
      </c>
      <c r="I31" s="478"/>
      <c r="J31" s="478"/>
      <c r="K31" s="478"/>
      <c r="L31" s="478"/>
      <c r="M31" s="478"/>
      <c r="N31" s="478"/>
      <c r="O31" s="478"/>
      <c r="P31" s="478"/>
      <c r="Q31" s="478"/>
      <c r="R31" s="478"/>
      <c r="S31" s="478"/>
      <c r="T31" s="478"/>
      <c r="U31" s="478"/>
      <c r="V31" s="478"/>
      <c r="W31" s="478"/>
      <c r="X31" s="478"/>
      <c r="Y31" s="478"/>
      <c r="Z31" s="478"/>
      <c r="AA31" s="478"/>
      <c r="AB31" s="478" t="s">
        <v>297</v>
      </c>
      <c r="AC31" s="478"/>
      <c r="AD31" s="478"/>
      <c r="AE31" s="478"/>
      <c r="AF31" s="478"/>
      <c r="AG31" s="478"/>
      <c r="AH31" s="478"/>
      <c r="AI31" s="478"/>
      <c r="AJ31" s="478"/>
      <c r="AK31" s="478"/>
      <c r="AL31" s="478"/>
      <c r="AM31" s="478"/>
      <c r="AN31" s="478"/>
      <c r="AO31" s="478"/>
      <c r="AP31" s="478"/>
      <c r="AQ31" s="478"/>
      <c r="AR31" s="478"/>
      <c r="AS31" s="478"/>
      <c r="AT31" s="478"/>
      <c r="AU31" s="478"/>
    </row>
    <row r="32" spans="1:47" ht="47.25" customHeight="1">
      <c r="B32" s="200"/>
      <c r="C32" s="280"/>
      <c r="D32" s="280"/>
      <c r="E32" s="280"/>
      <c r="F32" s="280"/>
      <c r="G32" s="280"/>
      <c r="H32" s="215">
        <v>0</v>
      </c>
      <c r="I32" s="215">
        <v>0</v>
      </c>
      <c r="J32" s="215" t="s">
        <v>236</v>
      </c>
      <c r="K32" s="215">
        <v>0</v>
      </c>
      <c r="L32" s="215" t="s">
        <v>236</v>
      </c>
      <c r="M32" s="215" t="s">
        <v>236</v>
      </c>
      <c r="N32" s="215" t="s">
        <v>236</v>
      </c>
      <c r="O32" s="215" t="s">
        <v>236</v>
      </c>
      <c r="P32" s="215">
        <v>0</v>
      </c>
      <c r="Q32" s="215" t="s">
        <v>236</v>
      </c>
      <c r="R32" s="215" t="s">
        <v>236</v>
      </c>
      <c r="S32" s="215">
        <v>0</v>
      </c>
      <c r="T32" s="215" t="s">
        <v>236</v>
      </c>
      <c r="U32" s="215" t="s">
        <v>236</v>
      </c>
      <c r="V32" s="215">
        <v>0</v>
      </c>
      <c r="W32" s="215" t="s">
        <v>236</v>
      </c>
      <c r="X32" s="215">
        <v>0</v>
      </c>
      <c r="Y32" s="215" t="s">
        <v>236</v>
      </c>
      <c r="Z32" s="215" t="s">
        <v>236</v>
      </c>
      <c r="AA32" s="215"/>
      <c r="AB32" s="215">
        <v>0</v>
      </c>
      <c r="AC32" s="215">
        <v>0</v>
      </c>
      <c r="AD32" s="215" t="s">
        <v>236</v>
      </c>
      <c r="AE32" s="215">
        <v>0</v>
      </c>
      <c r="AF32" s="215" t="s">
        <v>236</v>
      </c>
      <c r="AG32" s="215" t="s">
        <v>236</v>
      </c>
      <c r="AH32" s="215" t="s">
        <v>236</v>
      </c>
      <c r="AI32" s="215" t="s">
        <v>236</v>
      </c>
      <c r="AJ32" s="215">
        <v>0</v>
      </c>
      <c r="AK32" s="215" t="s">
        <v>236</v>
      </c>
      <c r="AL32" s="215" t="s">
        <v>236</v>
      </c>
      <c r="AM32" s="215">
        <v>0</v>
      </c>
      <c r="AN32" s="215" t="s">
        <v>236</v>
      </c>
      <c r="AO32" s="215" t="s">
        <v>236</v>
      </c>
      <c r="AP32" s="215">
        <v>0</v>
      </c>
      <c r="AQ32" s="215" t="s">
        <v>236</v>
      </c>
      <c r="AR32" s="215">
        <v>0</v>
      </c>
      <c r="AS32" s="215" t="s">
        <v>236</v>
      </c>
      <c r="AT32" s="215" t="s">
        <v>236</v>
      </c>
      <c r="AU32" s="215"/>
    </row>
    <row r="33" spans="2:47" s="180" customFormat="1" ht="86.25" customHeight="1">
      <c r="B33" s="225" t="s">
        <v>232</v>
      </c>
      <c r="C33" s="225" t="s">
        <v>296</v>
      </c>
      <c r="D33" s="213" t="s">
        <v>295</v>
      </c>
      <c r="E33" s="213" t="s">
        <v>294</v>
      </c>
      <c r="F33" s="213" t="s">
        <v>293</v>
      </c>
      <c r="G33" s="213" t="s">
        <v>292</v>
      </c>
      <c r="H33" s="213" t="s">
        <v>26</v>
      </c>
      <c r="I33" s="213" t="s">
        <v>27</v>
      </c>
      <c r="J33" s="213" t="s">
        <v>28</v>
      </c>
      <c r="K33" s="213" t="s">
        <v>29</v>
      </c>
      <c r="L33" s="213" t="s">
        <v>30</v>
      </c>
      <c r="M33" s="213" t="s">
        <v>31</v>
      </c>
      <c r="N33" s="213" t="s">
        <v>32</v>
      </c>
      <c r="O33" s="213" t="s">
        <v>33</v>
      </c>
      <c r="P33" s="213" t="s">
        <v>34</v>
      </c>
      <c r="Q33" s="213" t="s">
        <v>35</v>
      </c>
      <c r="R33" s="213" t="s">
        <v>36</v>
      </c>
      <c r="S33" s="213" t="s">
        <v>37</v>
      </c>
      <c r="T33" s="213" t="s">
        <v>38</v>
      </c>
      <c r="U33" s="213" t="s">
        <v>39</v>
      </c>
      <c r="V33" s="213" t="s">
        <v>40</v>
      </c>
      <c r="W33" s="213" t="s">
        <v>41</v>
      </c>
      <c r="X33" s="213" t="s">
        <v>42</v>
      </c>
      <c r="Y33" s="213" t="s">
        <v>43</v>
      </c>
      <c r="Z33" s="213" t="s">
        <v>44</v>
      </c>
      <c r="AA33" s="213" t="s">
        <v>23</v>
      </c>
      <c r="AB33" s="213" t="s">
        <v>26</v>
      </c>
      <c r="AC33" s="213" t="s">
        <v>27</v>
      </c>
      <c r="AD33" s="213" t="s">
        <v>28</v>
      </c>
      <c r="AE33" s="213" t="s">
        <v>29</v>
      </c>
      <c r="AF33" s="213" t="s">
        <v>30</v>
      </c>
      <c r="AG33" s="213" t="s">
        <v>31</v>
      </c>
      <c r="AH33" s="213" t="s">
        <v>32</v>
      </c>
      <c r="AI33" s="213" t="s">
        <v>33</v>
      </c>
      <c r="AJ33" s="213" t="s">
        <v>34</v>
      </c>
      <c r="AK33" s="213" t="s">
        <v>35</v>
      </c>
      <c r="AL33" s="213" t="s">
        <v>36</v>
      </c>
      <c r="AM33" s="213" t="s">
        <v>37</v>
      </c>
      <c r="AN33" s="213" t="s">
        <v>38</v>
      </c>
      <c r="AO33" s="213" t="s">
        <v>39</v>
      </c>
      <c r="AP33" s="213" t="s">
        <v>40</v>
      </c>
      <c r="AQ33" s="213" t="s">
        <v>41</v>
      </c>
      <c r="AR33" s="213" t="s">
        <v>42</v>
      </c>
      <c r="AS33" s="213" t="s">
        <v>43</v>
      </c>
      <c r="AT33" s="213" t="s">
        <v>44</v>
      </c>
      <c r="AU33" s="213" t="s">
        <v>23</v>
      </c>
    </row>
    <row r="34" spans="2:47">
      <c r="B34" s="279" t="s">
        <v>291</v>
      </c>
      <c r="C34" s="187"/>
      <c r="D34" s="187"/>
      <c r="E34" s="187"/>
      <c r="F34" s="279"/>
      <c r="G34" s="187"/>
      <c r="H34" s="177">
        <v>571</v>
      </c>
      <c r="I34" s="177">
        <v>5</v>
      </c>
      <c r="J34" s="177">
        <v>16101</v>
      </c>
      <c r="K34" s="177">
        <v>1732</v>
      </c>
      <c r="L34" s="177">
        <v>7051</v>
      </c>
      <c r="M34" s="177">
        <v>3231</v>
      </c>
      <c r="N34" s="177">
        <v>4638</v>
      </c>
      <c r="O34" s="177">
        <v>1872</v>
      </c>
      <c r="P34" s="177">
        <v>810</v>
      </c>
      <c r="Q34" s="177">
        <v>1916</v>
      </c>
      <c r="R34" s="177">
        <v>4211</v>
      </c>
      <c r="S34" s="177">
        <v>1708</v>
      </c>
      <c r="T34" s="177">
        <v>2787</v>
      </c>
      <c r="U34" s="177">
        <v>7807</v>
      </c>
      <c r="V34" s="177">
        <v>293</v>
      </c>
      <c r="W34" s="177">
        <v>1246</v>
      </c>
      <c r="X34" s="177">
        <v>823</v>
      </c>
      <c r="Y34" s="177">
        <v>3479</v>
      </c>
      <c r="Z34" s="177">
        <v>2994</v>
      </c>
      <c r="AA34" s="177">
        <v>63275</v>
      </c>
      <c r="AB34" s="200"/>
      <c r="AC34" s="200"/>
      <c r="AD34" s="200"/>
      <c r="AE34" s="200"/>
      <c r="AF34" s="200"/>
      <c r="AG34" s="200"/>
      <c r="AH34" s="200"/>
      <c r="AI34" s="200"/>
      <c r="AJ34" s="200"/>
      <c r="AK34" s="200"/>
      <c r="AL34" s="200"/>
      <c r="AM34" s="200"/>
      <c r="AN34" s="200"/>
      <c r="AO34" s="200"/>
      <c r="AP34" s="200"/>
      <c r="AQ34" s="200"/>
      <c r="AR34" s="200"/>
      <c r="AS34" s="200"/>
      <c r="AT34" s="200"/>
      <c r="AU34" s="200"/>
    </row>
    <row r="35" spans="2:47">
      <c r="B35" s="476" t="s">
        <v>19</v>
      </c>
      <c r="C35" s="200" t="s">
        <v>227</v>
      </c>
      <c r="D35" s="105">
        <v>0.02</v>
      </c>
      <c r="E35" s="274">
        <v>0.02</v>
      </c>
      <c r="F35" s="480" t="s">
        <v>290</v>
      </c>
      <c r="G35" s="211">
        <v>10000</v>
      </c>
      <c r="H35" s="219">
        <f t="shared" ref="H35:I62" si="4">H$34*$E35</f>
        <v>11.42</v>
      </c>
      <c r="I35" s="278">
        <f t="shared" si="4"/>
        <v>0.1</v>
      </c>
      <c r="J35" s="219">
        <f t="shared" ref="J35:J62" si="5">J$34*$D35</f>
        <v>322.02</v>
      </c>
      <c r="K35" s="219">
        <f t="shared" ref="K35:K62" si="6">K$34*$E35</f>
        <v>34.64</v>
      </c>
      <c r="L35" s="219">
        <f t="shared" ref="L35:O62" si="7">L$34*$D35</f>
        <v>141.02000000000001</v>
      </c>
      <c r="M35" s="219">
        <f t="shared" si="7"/>
        <v>64.62</v>
      </c>
      <c r="N35" s="219">
        <f t="shared" si="7"/>
        <v>92.76</v>
      </c>
      <c r="O35" s="219">
        <f t="shared" si="7"/>
        <v>37.44</v>
      </c>
      <c r="P35" s="219">
        <f t="shared" ref="P35:P62" si="8">P$34*$E35</f>
        <v>16.2</v>
      </c>
      <c r="Q35" s="219">
        <f t="shared" ref="Q35:R62" si="9">Q$34*$D35</f>
        <v>38.32</v>
      </c>
      <c r="R35" s="219">
        <f t="shared" si="9"/>
        <v>84.22</v>
      </c>
      <c r="S35" s="219">
        <f t="shared" ref="S35:S62" si="10">S$34*$E35</f>
        <v>34.160000000000004</v>
      </c>
      <c r="T35" s="219">
        <f t="shared" ref="T35:U62" si="11">T$34*$D35</f>
        <v>55.74</v>
      </c>
      <c r="U35" s="219">
        <f t="shared" si="11"/>
        <v>156.14000000000001</v>
      </c>
      <c r="V35" s="219">
        <f t="shared" ref="V35:V62" si="12">V$34*$E35</f>
        <v>5.86</v>
      </c>
      <c r="W35" s="219">
        <f t="shared" ref="W35:W62" si="13">W$34*$D35</f>
        <v>24.92</v>
      </c>
      <c r="X35" s="219">
        <f t="shared" ref="X35:X62" si="14">X$34*$E35</f>
        <v>16.46</v>
      </c>
      <c r="Y35" s="219">
        <f t="shared" ref="Y35:Z62" si="15">Y$34*$D35</f>
        <v>69.58</v>
      </c>
      <c r="Z35" s="219">
        <f t="shared" si="15"/>
        <v>59.88</v>
      </c>
      <c r="AA35" s="219">
        <f t="shared" ref="AA35:AA62" si="16">SUM(H35:Z35)</f>
        <v>1265.5000000000002</v>
      </c>
      <c r="AB35" s="211">
        <f t="shared" ref="AB35:AB62" si="17">H35*$G35</f>
        <v>114200</v>
      </c>
      <c r="AC35" s="211">
        <f t="shared" ref="AC35:AC62" si="18">I35*$G35</f>
        <v>1000</v>
      </c>
      <c r="AD35" s="211">
        <f t="shared" ref="AD35:AD62" si="19">J35*$G35</f>
        <v>3220200</v>
      </c>
      <c r="AE35" s="211">
        <f t="shared" ref="AE35:AE62" si="20">K35*$G35</f>
        <v>346400</v>
      </c>
      <c r="AF35" s="211">
        <f t="shared" ref="AF35:AF62" si="21">L35*$G35</f>
        <v>1410200</v>
      </c>
      <c r="AG35" s="211">
        <f t="shared" ref="AG35:AG62" si="22">M35*$G35</f>
        <v>646200</v>
      </c>
      <c r="AH35" s="211">
        <f t="shared" ref="AH35:AH62" si="23">N35*$G35</f>
        <v>927600</v>
      </c>
      <c r="AI35" s="211">
        <f t="shared" ref="AI35:AI62" si="24">O35*$G35</f>
        <v>374400</v>
      </c>
      <c r="AJ35" s="211">
        <f t="shared" ref="AJ35:AJ62" si="25">P35*$G35</f>
        <v>162000</v>
      </c>
      <c r="AK35" s="211">
        <f t="shared" ref="AK35:AK62" si="26">Q35*$G35</f>
        <v>383200</v>
      </c>
      <c r="AL35" s="211">
        <f t="shared" ref="AL35:AL62" si="27">R35*$G35</f>
        <v>842200</v>
      </c>
      <c r="AM35" s="211">
        <f t="shared" ref="AM35:AM62" si="28">S35*$G35</f>
        <v>341600.00000000006</v>
      </c>
      <c r="AN35" s="211">
        <f t="shared" ref="AN35:AN62" si="29">T35*$G35</f>
        <v>557400</v>
      </c>
      <c r="AO35" s="211">
        <f t="shared" ref="AO35:AO62" si="30">U35*$G35</f>
        <v>1561400.0000000002</v>
      </c>
      <c r="AP35" s="211">
        <f t="shared" ref="AP35:AP62" si="31">V35*$G35</f>
        <v>58600</v>
      </c>
      <c r="AQ35" s="211">
        <f t="shared" ref="AQ35:AQ62" si="32">W35*$G35</f>
        <v>249200.00000000003</v>
      </c>
      <c r="AR35" s="211">
        <f t="shared" ref="AR35:AR62" si="33">X35*$G35</f>
        <v>164600</v>
      </c>
      <c r="AS35" s="211">
        <f t="shared" ref="AS35:AS62" si="34">Y35*$G35</f>
        <v>695800</v>
      </c>
      <c r="AT35" s="211">
        <f t="shared" ref="AT35:AT62" si="35">Z35*$G35</f>
        <v>598800</v>
      </c>
      <c r="AU35" s="219">
        <f t="shared" ref="AU35:AU62" si="36">SUM(AB35:AT35)</f>
        <v>12655000</v>
      </c>
    </row>
    <row r="36" spans="2:47">
      <c r="B36" s="477"/>
      <c r="C36" s="200" t="s">
        <v>226</v>
      </c>
      <c r="D36" s="105">
        <v>0.02</v>
      </c>
      <c r="E36" s="274">
        <v>0.02</v>
      </c>
      <c r="F36" s="481"/>
      <c r="G36" s="211">
        <v>1000</v>
      </c>
      <c r="H36" s="219">
        <f t="shared" si="4"/>
        <v>11.42</v>
      </c>
      <c r="I36" s="219">
        <f t="shared" si="4"/>
        <v>0.1</v>
      </c>
      <c r="J36" s="219">
        <f t="shared" si="5"/>
        <v>322.02</v>
      </c>
      <c r="K36" s="219">
        <f t="shared" si="6"/>
        <v>34.64</v>
      </c>
      <c r="L36" s="219">
        <f t="shared" si="7"/>
        <v>141.02000000000001</v>
      </c>
      <c r="M36" s="219">
        <f t="shared" si="7"/>
        <v>64.62</v>
      </c>
      <c r="N36" s="219">
        <f t="shared" si="7"/>
        <v>92.76</v>
      </c>
      <c r="O36" s="219">
        <f t="shared" si="7"/>
        <v>37.44</v>
      </c>
      <c r="P36" s="219">
        <f t="shared" si="8"/>
        <v>16.2</v>
      </c>
      <c r="Q36" s="219">
        <f t="shared" si="9"/>
        <v>38.32</v>
      </c>
      <c r="R36" s="219">
        <f t="shared" si="9"/>
        <v>84.22</v>
      </c>
      <c r="S36" s="219">
        <f t="shared" si="10"/>
        <v>34.160000000000004</v>
      </c>
      <c r="T36" s="219">
        <f t="shared" si="11"/>
        <v>55.74</v>
      </c>
      <c r="U36" s="219">
        <f t="shared" si="11"/>
        <v>156.14000000000001</v>
      </c>
      <c r="V36" s="219">
        <f t="shared" si="12"/>
        <v>5.86</v>
      </c>
      <c r="W36" s="219">
        <f t="shared" si="13"/>
        <v>24.92</v>
      </c>
      <c r="X36" s="219">
        <f t="shared" si="14"/>
        <v>16.46</v>
      </c>
      <c r="Y36" s="219">
        <f t="shared" si="15"/>
        <v>69.58</v>
      </c>
      <c r="Z36" s="219">
        <f t="shared" si="15"/>
        <v>59.88</v>
      </c>
      <c r="AA36" s="219">
        <f t="shared" si="16"/>
        <v>1265.5000000000002</v>
      </c>
      <c r="AB36" s="211">
        <f t="shared" si="17"/>
        <v>11420</v>
      </c>
      <c r="AC36" s="211">
        <f t="shared" si="18"/>
        <v>100</v>
      </c>
      <c r="AD36" s="211">
        <f t="shared" si="19"/>
        <v>322020</v>
      </c>
      <c r="AE36" s="211">
        <f t="shared" si="20"/>
        <v>34640</v>
      </c>
      <c r="AF36" s="211">
        <f t="shared" si="21"/>
        <v>141020</v>
      </c>
      <c r="AG36" s="211">
        <f t="shared" si="22"/>
        <v>64620.000000000007</v>
      </c>
      <c r="AH36" s="211">
        <f t="shared" si="23"/>
        <v>92760</v>
      </c>
      <c r="AI36" s="211">
        <f t="shared" si="24"/>
        <v>37440</v>
      </c>
      <c r="AJ36" s="211">
        <f t="shared" si="25"/>
        <v>16200</v>
      </c>
      <c r="AK36" s="211">
        <f t="shared" si="26"/>
        <v>38320</v>
      </c>
      <c r="AL36" s="211">
        <f t="shared" si="27"/>
        <v>84220</v>
      </c>
      <c r="AM36" s="211">
        <f t="shared" si="28"/>
        <v>34160.000000000007</v>
      </c>
      <c r="AN36" s="211">
        <f t="shared" si="29"/>
        <v>55740</v>
      </c>
      <c r="AO36" s="211">
        <f t="shared" si="30"/>
        <v>156140.00000000003</v>
      </c>
      <c r="AP36" s="211">
        <f t="shared" si="31"/>
        <v>5860</v>
      </c>
      <c r="AQ36" s="211">
        <f t="shared" si="32"/>
        <v>24920</v>
      </c>
      <c r="AR36" s="211">
        <f t="shared" si="33"/>
        <v>16460</v>
      </c>
      <c r="AS36" s="211">
        <f t="shared" si="34"/>
        <v>69580</v>
      </c>
      <c r="AT36" s="211">
        <f t="shared" si="35"/>
        <v>59880</v>
      </c>
      <c r="AU36" s="219">
        <f t="shared" si="36"/>
        <v>1265500</v>
      </c>
    </row>
    <row r="37" spans="2:47">
      <c r="B37" s="477"/>
      <c r="C37" s="200" t="s">
        <v>225</v>
      </c>
      <c r="D37" s="105">
        <v>0.40380164129901097</v>
      </c>
      <c r="E37" s="275">
        <v>0.38</v>
      </c>
      <c r="F37" s="481"/>
      <c r="G37" s="211">
        <v>700</v>
      </c>
      <c r="H37" s="219">
        <f t="shared" si="4"/>
        <v>216.98</v>
      </c>
      <c r="I37" s="219">
        <f t="shared" si="4"/>
        <v>1.9</v>
      </c>
      <c r="J37" s="219">
        <f t="shared" si="5"/>
        <v>6501.6102265553754</v>
      </c>
      <c r="K37" s="219">
        <f t="shared" si="6"/>
        <v>658.16</v>
      </c>
      <c r="L37" s="219">
        <f t="shared" si="7"/>
        <v>2847.2053727993261</v>
      </c>
      <c r="M37" s="219">
        <f t="shared" si="7"/>
        <v>1304.6831030371045</v>
      </c>
      <c r="N37" s="219">
        <f t="shared" si="7"/>
        <v>1872.8320123448129</v>
      </c>
      <c r="O37" s="219">
        <f t="shared" si="7"/>
        <v>755.91667251174852</v>
      </c>
      <c r="P37" s="219">
        <f t="shared" si="8"/>
        <v>307.8</v>
      </c>
      <c r="Q37" s="219">
        <f t="shared" si="9"/>
        <v>773.68394472890498</v>
      </c>
      <c r="R37" s="219">
        <f t="shared" si="9"/>
        <v>1700.4087115101352</v>
      </c>
      <c r="S37" s="219">
        <f t="shared" si="10"/>
        <v>649.04</v>
      </c>
      <c r="T37" s="219">
        <f t="shared" si="11"/>
        <v>1125.3951743003436</v>
      </c>
      <c r="U37" s="219">
        <f t="shared" si="11"/>
        <v>3152.4794136213786</v>
      </c>
      <c r="V37" s="219">
        <f t="shared" si="12"/>
        <v>111.34</v>
      </c>
      <c r="W37" s="219">
        <f t="shared" si="13"/>
        <v>503.13684505856764</v>
      </c>
      <c r="X37" s="219">
        <f t="shared" si="14"/>
        <v>312.74</v>
      </c>
      <c r="Y37" s="219">
        <f t="shared" si="15"/>
        <v>1404.8259100792591</v>
      </c>
      <c r="Z37" s="219">
        <f t="shared" si="15"/>
        <v>1208.9821140492388</v>
      </c>
      <c r="AA37" s="219">
        <f t="shared" si="16"/>
        <v>25409.1195005962</v>
      </c>
      <c r="AB37" s="211">
        <f t="shared" si="17"/>
        <v>151886</v>
      </c>
      <c r="AC37" s="211">
        <f t="shared" si="18"/>
        <v>1330</v>
      </c>
      <c r="AD37" s="211">
        <f t="shared" si="19"/>
        <v>4551127.1585887624</v>
      </c>
      <c r="AE37" s="211">
        <f t="shared" si="20"/>
        <v>460712</v>
      </c>
      <c r="AF37" s="211">
        <f t="shared" si="21"/>
        <v>1993043.7609595284</v>
      </c>
      <c r="AG37" s="211">
        <f t="shared" si="22"/>
        <v>913278.17212597316</v>
      </c>
      <c r="AH37" s="211">
        <f t="shared" si="23"/>
        <v>1310982.4086413691</v>
      </c>
      <c r="AI37" s="211">
        <f t="shared" si="24"/>
        <v>529141.67075822398</v>
      </c>
      <c r="AJ37" s="211">
        <f t="shared" si="25"/>
        <v>215460</v>
      </c>
      <c r="AK37" s="211">
        <f t="shared" si="26"/>
        <v>541578.7613102335</v>
      </c>
      <c r="AL37" s="211">
        <f t="shared" si="27"/>
        <v>1190286.0980570947</v>
      </c>
      <c r="AM37" s="211">
        <f t="shared" si="28"/>
        <v>454328</v>
      </c>
      <c r="AN37" s="211">
        <f t="shared" si="29"/>
        <v>787776.62201024045</v>
      </c>
      <c r="AO37" s="211">
        <f t="shared" si="30"/>
        <v>2206735.5895349649</v>
      </c>
      <c r="AP37" s="211">
        <f t="shared" si="31"/>
        <v>77938</v>
      </c>
      <c r="AQ37" s="211">
        <f t="shared" si="32"/>
        <v>352195.79154099734</v>
      </c>
      <c r="AR37" s="211">
        <f t="shared" si="33"/>
        <v>218918</v>
      </c>
      <c r="AS37" s="211">
        <f t="shared" si="34"/>
        <v>983378.13705548132</v>
      </c>
      <c r="AT37" s="211">
        <f t="shared" si="35"/>
        <v>846287.47983446717</v>
      </c>
      <c r="AU37" s="219">
        <f t="shared" si="36"/>
        <v>17786383.650417335</v>
      </c>
    </row>
    <row r="38" spans="2:47">
      <c r="B38" s="477"/>
      <c r="C38" s="200" t="s">
        <v>224</v>
      </c>
      <c r="D38" s="105">
        <v>0.59619835870098903</v>
      </c>
      <c r="E38" s="275">
        <v>0.57999999999999996</v>
      </c>
      <c r="F38" s="481"/>
      <c r="G38" s="211">
        <v>300</v>
      </c>
      <c r="H38" s="219">
        <f t="shared" si="4"/>
        <v>331.17999999999995</v>
      </c>
      <c r="I38" s="219">
        <f t="shared" si="4"/>
        <v>2.9</v>
      </c>
      <c r="J38" s="219">
        <f t="shared" si="5"/>
        <v>9599.3897734446236</v>
      </c>
      <c r="K38" s="219">
        <f t="shared" si="6"/>
        <v>1004.56</v>
      </c>
      <c r="L38" s="219">
        <f t="shared" si="7"/>
        <v>4203.7946272006739</v>
      </c>
      <c r="M38" s="219">
        <f t="shared" si="7"/>
        <v>1926.3168969628955</v>
      </c>
      <c r="N38" s="219">
        <f t="shared" si="7"/>
        <v>2765.1679876551871</v>
      </c>
      <c r="O38" s="219">
        <f t="shared" si="7"/>
        <v>1116.0833274882514</v>
      </c>
      <c r="P38" s="219">
        <f t="shared" si="8"/>
        <v>469.79999999999995</v>
      </c>
      <c r="Q38" s="219">
        <f t="shared" si="9"/>
        <v>1142.3160552710949</v>
      </c>
      <c r="R38" s="219">
        <f t="shared" si="9"/>
        <v>2510.5912884898648</v>
      </c>
      <c r="S38" s="219">
        <f t="shared" si="10"/>
        <v>990.64</v>
      </c>
      <c r="T38" s="219">
        <f t="shared" si="11"/>
        <v>1661.6048256996564</v>
      </c>
      <c r="U38" s="219">
        <f t="shared" si="11"/>
        <v>4654.5205863786214</v>
      </c>
      <c r="V38" s="219">
        <f t="shared" si="12"/>
        <v>169.94</v>
      </c>
      <c r="W38" s="219">
        <f t="shared" si="13"/>
        <v>742.8631549414323</v>
      </c>
      <c r="X38" s="219">
        <f t="shared" si="14"/>
        <v>477.34</v>
      </c>
      <c r="Y38" s="219">
        <f t="shared" si="15"/>
        <v>2074.1740899207407</v>
      </c>
      <c r="Z38" s="219">
        <f t="shared" si="15"/>
        <v>1785.0178859507612</v>
      </c>
      <c r="AA38" s="219">
        <f t="shared" si="16"/>
        <v>37628.200499403792</v>
      </c>
      <c r="AB38" s="211">
        <f t="shared" si="17"/>
        <v>99353.999999999985</v>
      </c>
      <c r="AC38" s="211">
        <f t="shared" si="18"/>
        <v>870</v>
      </c>
      <c r="AD38" s="211">
        <f t="shared" si="19"/>
        <v>2879816.932033387</v>
      </c>
      <c r="AE38" s="211">
        <f t="shared" si="20"/>
        <v>301368</v>
      </c>
      <c r="AF38" s="211">
        <f t="shared" si="21"/>
        <v>1261138.3881602022</v>
      </c>
      <c r="AG38" s="211">
        <f t="shared" si="22"/>
        <v>577895.06908886868</v>
      </c>
      <c r="AH38" s="211">
        <f t="shared" si="23"/>
        <v>829550.39629655611</v>
      </c>
      <c r="AI38" s="211">
        <f t="shared" si="24"/>
        <v>334824.99824647541</v>
      </c>
      <c r="AJ38" s="211">
        <f t="shared" si="25"/>
        <v>140940</v>
      </c>
      <c r="AK38" s="211">
        <f t="shared" si="26"/>
        <v>342694.81658132846</v>
      </c>
      <c r="AL38" s="211">
        <f t="shared" si="27"/>
        <v>753177.3865469594</v>
      </c>
      <c r="AM38" s="211">
        <f t="shared" si="28"/>
        <v>297192</v>
      </c>
      <c r="AN38" s="211">
        <f t="shared" si="29"/>
        <v>498481.44770989695</v>
      </c>
      <c r="AO38" s="211">
        <f t="shared" si="30"/>
        <v>1396356.1759135865</v>
      </c>
      <c r="AP38" s="211">
        <f t="shared" si="31"/>
        <v>50982</v>
      </c>
      <c r="AQ38" s="211">
        <f t="shared" si="32"/>
        <v>222858.94648242969</v>
      </c>
      <c r="AR38" s="211">
        <f t="shared" si="33"/>
        <v>143202</v>
      </c>
      <c r="AS38" s="211">
        <f t="shared" si="34"/>
        <v>622252.22697622224</v>
      </c>
      <c r="AT38" s="211">
        <f t="shared" si="35"/>
        <v>535505.36578522832</v>
      </c>
      <c r="AU38" s="219">
        <f t="shared" si="36"/>
        <v>11288460.149821138</v>
      </c>
    </row>
    <row r="39" spans="2:47">
      <c r="B39" s="477"/>
      <c r="C39" s="200" t="s">
        <v>223</v>
      </c>
      <c r="D39" s="105">
        <v>0.05</v>
      </c>
      <c r="E39" s="274">
        <v>0.05</v>
      </c>
      <c r="F39" s="482"/>
      <c r="G39" s="211">
        <v>175</v>
      </c>
      <c r="H39" s="219">
        <f t="shared" si="4"/>
        <v>28.55</v>
      </c>
      <c r="I39" s="219">
        <f t="shared" si="4"/>
        <v>0.25</v>
      </c>
      <c r="J39" s="219">
        <f t="shared" si="5"/>
        <v>805.05000000000007</v>
      </c>
      <c r="K39" s="219">
        <f t="shared" si="6"/>
        <v>86.600000000000009</v>
      </c>
      <c r="L39" s="219">
        <f t="shared" si="7"/>
        <v>352.55</v>
      </c>
      <c r="M39" s="219">
        <f t="shared" si="7"/>
        <v>161.55000000000001</v>
      </c>
      <c r="N39" s="219">
        <f t="shared" si="7"/>
        <v>231.9</v>
      </c>
      <c r="O39" s="219">
        <f t="shared" si="7"/>
        <v>93.600000000000009</v>
      </c>
      <c r="P39" s="219">
        <f t="shared" si="8"/>
        <v>40.5</v>
      </c>
      <c r="Q39" s="219">
        <f t="shared" si="9"/>
        <v>95.800000000000011</v>
      </c>
      <c r="R39" s="219">
        <f t="shared" si="9"/>
        <v>210.55</v>
      </c>
      <c r="S39" s="219">
        <f t="shared" si="10"/>
        <v>85.4</v>
      </c>
      <c r="T39" s="219">
        <f t="shared" si="11"/>
        <v>139.35</v>
      </c>
      <c r="U39" s="219">
        <f t="shared" si="11"/>
        <v>390.35</v>
      </c>
      <c r="V39" s="219">
        <f t="shared" si="12"/>
        <v>14.65</v>
      </c>
      <c r="W39" s="219">
        <f t="shared" si="13"/>
        <v>62.300000000000004</v>
      </c>
      <c r="X39" s="219">
        <f t="shared" si="14"/>
        <v>41.150000000000006</v>
      </c>
      <c r="Y39" s="219">
        <f t="shared" si="15"/>
        <v>173.95000000000002</v>
      </c>
      <c r="Z39" s="219">
        <f t="shared" si="15"/>
        <v>149.70000000000002</v>
      </c>
      <c r="AA39" s="219">
        <f t="shared" si="16"/>
        <v>3163.75</v>
      </c>
      <c r="AB39" s="211">
        <f t="shared" si="17"/>
        <v>4996.25</v>
      </c>
      <c r="AC39" s="211">
        <f t="shared" si="18"/>
        <v>43.75</v>
      </c>
      <c r="AD39" s="211">
        <f t="shared" si="19"/>
        <v>140883.75</v>
      </c>
      <c r="AE39" s="211">
        <f t="shared" si="20"/>
        <v>15155.000000000002</v>
      </c>
      <c r="AF39" s="211">
        <f t="shared" si="21"/>
        <v>61696.25</v>
      </c>
      <c r="AG39" s="211">
        <f t="shared" si="22"/>
        <v>28271.250000000004</v>
      </c>
      <c r="AH39" s="211">
        <f t="shared" si="23"/>
        <v>40582.5</v>
      </c>
      <c r="AI39" s="211">
        <f t="shared" si="24"/>
        <v>16380.000000000002</v>
      </c>
      <c r="AJ39" s="211">
        <f t="shared" si="25"/>
        <v>7087.5</v>
      </c>
      <c r="AK39" s="211">
        <f t="shared" si="26"/>
        <v>16765.000000000004</v>
      </c>
      <c r="AL39" s="211">
        <f t="shared" si="27"/>
        <v>36846.25</v>
      </c>
      <c r="AM39" s="211">
        <f t="shared" si="28"/>
        <v>14945.000000000002</v>
      </c>
      <c r="AN39" s="211">
        <f t="shared" si="29"/>
        <v>24386.25</v>
      </c>
      <c r="AO39" s="211">
        <f t="shared" si="30"/>
        <v>68311.25</v>
      </c>
      <c r="AP39" s="211">
        <f t="shared" si="31"/>
        <v>2563.75</v>
      </c>
      <c r="AQ39" s="211">
        <f t="shared" si="32"/>
        <v>10902.5</v>
      </c>
      <c r="AR39" s="211">
        <f t="shared" si="33"/>
        <v>7201.2500000000009</v>
      </c>
      <c r="AS39" s="211">
        <f t="shared" si="34"/>
        <v>30441.250000000004</v>
      </c>
      <c r="AT39" s="211">
        <f t="shared" si="35"/>
        <v>26197.500000000004</v>
      </c>
      <c r="AU39" s="219">
        <f t="shared" si="36"/>
        <v>553656.25</v>
      </c>
    </row>
    <row r="40" spans="2:47">
      <c r="B40" s="476" t="s">
        <v>222</v>
      </c>
      <c r="C40" s="200" t="s">
        <v>221</v>
      </c>
      <c r="D40" s="105">
        <v>4.6299999999999994E-2</v>
      </c>
      <c r="E40" s="274">
        <f>D40</f>
        <v>4.6299999999999994E-2</v>
      </c>
      <c r="F40" s="233"/>
      <c r="G40" s="211">
        <v>1547.2570588235296</v>
      </c>
      <c r="H40" s="219">
        <f t="shared" si="4"/>
        <v>26.437299999999997</v>
      </c>
      <c r="I40" s="219">
        <f t="shared" si="4"/>
        <v>0.23149999999999998</v>
      </c>
      <c r="J40" s="219">
        <f t="shared" si="5"/>
        <v>745.47629999999992</v>
      </c>
      <c r="K40" s="219">
        <f t="shared" si="6"/>
        <v>80.191599999999994</v>
      </c>
      <c r="L40" s="219">
        <f t="shared" si="7"/>
        <v>326.46129999999994</v>
      </c>
      <c r="M40" s="219">
        <f t="shared" si="7"/>
        <v>149.59529999999998</v>
      </c>
      <c r="N40" s="219">
        <f t="shared" si="7"/>
        <v>214.73939999999996</v>
      </c>
      <c r="O40" s="219">
        <f t="shared" si="7"/>
        <v>86.673599999999993</v>
      </c>
      <c r="P40" s="219">
        <f t="shared" si="8"/>
        <v>37.502999999999993</v>
      </c>
      <c r="Q40" s="219">
        <f t="shared" si="9"/>
        <v>88.710799999999992</v>
      </c>
      <c r="R40" s="219">
        <f t="shared" si="9"/>
        <v>194.96929999999998</v>
      </c>
      <c r="S40" s="219">
        <f t="shared" si="10"/>
        <v>79.080399999999983</v>
      </c>
      <c r="T40" s="219">
        <f t="shared" si="11"/>
        <v>129.03809999999999</v>
      </c>
      <c r="U40" s="219">
        <f t="shared" si="11"/>
        <v>361.46409999999997</v>
      </c>
      <c r="V40" s="219">
        <f t="shared" si="12"/>
        <v>13.565899999999997</v>
      </c>
      <c r="W40" s="219">
        <f t="shared" si="13"/>
        <v>57.689799999999991</v>
      </c>
      <c r="X40" s="219">
        <f t="shared" si="14"/>
        <v>38.104899999999994</v>
      </c>
      <c r="Y40" s="219">
        <f t="shared" si="15"/>
        <v>161.07769999999999</v>
      </c>
      <c r="Z40" s="219">
        <f t="shared" si="15"/>
        <v>138.62219999999999</v>
      </c>
      <c r="AA40" s="219">
        <f t="shared" si="16"/>
        <v>2929.6324999999997</v>
      </c>
      <c r="AB40" s="211">
        <f t="shared" si="17"/>
        <v>40905.299041235296</v>
      </c>
      <c r="AC40" s="211">
        <f t="shared" si="18"/>
        <v>358.19000911764709</v>
      </c>
      <c r="AD40" s="211">
        <f t="shared" si="19"/>
        <v>1153443.4673606472</v>
      </c>
      <c r="AE40" s="211">
        <f t="shared" si="20"/>
        <v>124077.01915835295</v>
      </c>
      <c r="AF40" s="211">
        <f t="shared" si="21"/>
        <v>505119.55085770588</v>
      </c>
      <c r="AG40" s="211">
        <f t="shared" si="22"/>
        <v>231462.38389182353</v>
      </c>
      <c r="AH40" s="211">
        <f t="shared" si="23"/>
        <v>332257.05245752941</v>
      </c>
      <c r="AI40" s="211">
        <f t="shared" si="24"/>
        <v>134106.33941364707</v>
      </c>
      <c r="AJ40" s="211">
        <f t="shared" si="25"/>
        <v>58026.781477058823</v>
      </c>
      <c r="AK40" s="211">
        <f t="shared" si="26"/>
        <v>137258.41149388236</v>
      </c>
      <c r="AL40" s="211">
        <f t="shared" si="27"/>
        <v>301667.62567888235</v>
      </c>
      <c r="AM40" s="211">
        <f t="shared" si="28"/>
        <v>122357.70711458822</v>
      </c>
      <c r="AN40" s="211">
        <f t="shared" si="29"/>
        <v>199655.11108217647</v>
      </c>
      <c r="AO40" s="211">
        <f t="shared" si="30"/>
        <v>559277.88023629412</v>
      </c>
      <c r="AP40" s="211">
        <f t="shared" si="31"/>
        <v>20989.934534294116</v>
      </c>
      <c r="AQ40" s="211">
        <f t="shared" si="32"/>
        <v>89260.95027211764</v>
      </c>
      <c r="AR40" s="211">
        <f t="shared" si="33"/>
        <v>58958.075500764702</v>
      </c>
      <c r="AS40" s="211">
        <f t="shared" si="34"/>
        <v>249228.60834405886</v>
      </c>
      <c r="AT40" s="211">
        <f t="shared" si="35"/>
        <v>214484.17745964706</v>
      </c>
      <c r="AU40" s="219">
        <f t="shared" si="36"/>
        <v>4532894.5653838236</v>
      </c>
    </row>
    <row r="41" spans="2:47">
      <c r="B41" s="477"/>
      <c r="C41" s="200" t="s">
        <v>220</v>
      </c>
      <c r="D41" s="105">
        <v>0.7</v>
      </c>
      <c r="E41" s="274">
        <f>D41</f>
        <v>0.7</v>
      </c>
      <c r="F41" s="233"/>
      <c r="G41" s="211">
        <v>315.83387755102041</v>
      </c>
      <c r="H41" s="219">
        <f t="shared" si="4"/>
        <v>399.7</v>
      </c>
      <c r="I41" s="219">
        <f t="shared" si="4"/>
        <v>3.5</v>
      </c>
      <c r="J41" s="219">
        <f t="shared" si="5"/>
        <v>11270.699999999999</v>
      </c>
      <c r="K41" s="219">
        <f t="shared" si="6"/>
        <v>1212.3999999999999</v>
      </c>
      <c r="L41" s="219">
        <f t="shared" si="7"/>
        <v>4935.7</v>
      </c>
      <c r="M41" s="219">
        <f t="shared" si="7"/>
        <v>2261.6999999999998</v>
      </c>
      <c r="N41" s="219">
        <f t="shared" si="7"/>
        <v>3246.6</v>
      </c>
      <c r="O41" s="219">
        <f t="shared" si="7"/>
        <v>1310.3999999999999</v>
      </c>
      <c r="P41" s="219">
        <f t="shared" si="8"/>
        <v>567</v>
      </c>
      <c r="Q41" s="219">
        <f t="shared" si="9"/>
        <v>1341.1999999999998</v>
      </c>
      <c r="R41" s="219">
        <f t="shared" si="9"/>
        <v>2947.7</v>
      </c>
      <c r="S41" s="219">
        <f t="shared" si="10"/>
        <v>1195.5999999999999</v>
      </c>
      <c r="T41" s="219">
        <f t="shared" si="11"/>
        <v>1950.8999999999999</v>
      </c>
      <c r="U41" s="219">
        <f t="shared" si="11"/>
        <v>5464.9</v>
      </c>
      <c r="V41" s="219">
        <f t="shared" si="12"/>
        <v>205.1</v>
      </c>
      <c r="W41" s="219">
        <f t="shared" si="13"/>
        <v>872.19999999999993</v>
      </c>
      <c r="X41" s="219">
        <f t="shared" si="14"/>
        <v>576.09999999999991</v>
      </c>
      <c r="Y41" s="219">
        <f t="shared" si="15"/>
        <v>2435.2999999999997</v>
      </c>
      <c r="Z41" s="219">
        <f t="shared" si="15"/>
        <v>2095.7999999999997</v>
      </c>
      <c r="AA41" s="219">
        <f t="shared" si="16"/>
        <v>44292.5</v>
      </c>
      <c r="AB41" s="211">
        <f t="shared" si="17"/>
        <v>126238.80085714285</v>
      </c>
      <c r="AC41" s="211">
        <f t="shared" si="18"/>
        <v>1105.4185714285713</v>
      </c>
      <c r="AD41" s="211">
        <f t="shared" si="19"/>
        <v>3559668.8837142852</v>
      </c>
      <c r="AE41" s="211">
        <f t="shared" si="20"/>
        <v>382916.9931428571</v>
      </c>
      <c r="AF41" s="211">
        <f t="shared" si="21"/>
        <v>1558861.2694285715</v>
      </c>
      <c r="AG41" s="211">
        <f t="shared" si="22"/>
        <v>714321.48085714283</v>
      </c>
      <c r="AH41" s="211">
        <f t="shared" si="23"/>
        <v>1025386.2668571428</v>
      </c>
      <c r="AI41" s="211">
        <f t="shared" si="24"/>
        <v>413868.71314285707</v>
      </c>
      <c r="AJ41" s="211">
        <f t="shared" si="25"/>
        <v>179077.80857142858</v>
      </c>
      <c r="AK41" s="211">
        <f t="shared" si="26"/>
        <v>423596.39657142852</v>
      </c>
      <c r="AL41" s="211">
        <f t="shared" si="27"/>
        <v>930983.52085714275</v>
      </c>
      <c r="AM41" s="211">
        <f t="shared" si="28"/>
        <v>377610.984</v>
      </c>
      <c r="AN41" s="211">
        <f t="shared" si="29"/>
        <v>616160.31171428564</v>
      </c>
      <c r="AO41" s="211">
        <f t="shared" si="30"/>
        <v>1726000.5574285714</v>
      </c>
      <c r="AP41" s="211">
        <f t="shared" si="31"/>
        <v>64777.528285714281</v>
      </c>
      <c r="AQ41" s="211">
        <f t="shared" si="32"/>
        <v>275470.30799999996</v>
      </c>
      <c r="AR41" s="211">
        <f t="shared" si="33"/>
        <v>181951.89685714283</v>
      </c>
      <c r="AS41" s="211">
        <f t="shared" si="34"/>
        <v>769150.24199999997</v>
      </c>
      <c r="AT41" s="211">
        <f t="shared" si="35"/>
        <v>661924.64057142846</v>
      </c>
      <c r="AU41" s="219">
        <f t="shared" si="36"/>
        <v>13989072.02142857</v>
      </c>
    </row>
    <row r="42" spans="2:47">
      <c r="B42" s="477"/>
      <c r="C42" s="200" t="s">
        <v>219</v>
      </c>
      <c r="D42" s="105">
        <v>0.3</v>
      </c>
      <c r="E42" s="274">
        <f>D42</f>
        <v>0.3</v>
      </c>
      <c r="F42" s="233"/>
      <c r="G42" s="211">
        <v>300</v>
      </c>
      <c r="H42" s="219">
        <f t="shared" si="4"/>
        <v>171.29999999999998</v>
      </c>
      <c r="I42" s="219">
        <f t="shared" si="4"/>
        <v>1.5</v>
      </c>
      <c r="J42" s="219">
        <f t="shared" si="5"/>
        <v>4830.3</v>
      </c>
      <c r="K42" s="219">
        <f t="shared" si="6"/>
        <v>519.6</v>
      </c>
      <c r="L42" s="219">
        <f t="shared" si="7"/>
        <v>2115.2999999999997</v>
      </c>
      <c r="M42" s="219">
        <f t="shared" si="7"/>
        <v>969.3</v>
      </c>
      <c r="N42" s="219">
        <f t="shared" si="7"/>
        <v>1391.3999999999999</v>
      </c>
      <c r="O42" s="219">
        <f t="shared" si="7"/>
        <v>561.6</v>
      </c>
      <c r="P42" s="219">
        <f t="shared" si="8"/>
        <v>243</v>
      </c>
      <c r="Q42" s="219">
        <f t="shared" si="9"/>
        <v>574.79999999999995</v>
      </c>
      <c r="R42" s="219">
        <f t="shared" si="9"/>
        <v>1263.3</v>
      </c>
      <c r="S42" s="219">
        <f t="shared" si="10"/>
        <v>512.4</v>
      </c>
      <c r="T42" s="219">
        <f t="shared" si="11"/>
        <v>836.1</v>
      </c>
      <c r="U42" s="219">
        <f t="shared" si="11"/>
        <v>2342.1</v>
      </c>
      <c r="V42" s="219">
        <f t="shared" si="12"/>
        <v>87.899999999999991</v>
      </c>
      <c r="W42" s="219">
        <f t="shared" si="13"/>
        <v>373.8</v>
      </c>
      <c r="X42" s="219">
        <f t="shared" si="14"/>
        <v>246.89999999999998</v>
      </c>
      <c r="Y42" s="219">
        <f t="shared" si="15"/>
        <v>1043.7</v>
      </c>
      <c r="Z42" s="219">
        <f t="shared" si="15"/>
        <v>898.19999999999993</v>
      </c>
      <c r="AA42" s="219">
        <f t="shared" si="16"/>
        <v>18982.5</v>
      </c>
      <c r="AB42" s="211">
        <f t="shared" si="17"/>
        <v>51389.999999999993</v>
      </c>
      <c r="AC42" s="211">
        <f t="shared" si="18"/>
        <v>450</v>
      </c>
      <c r="AD42" s="211">
        <f t="shared" si="19"/>
        <v>1449090</v>
      </c>
      <c r="AE42" s="211">
        <f t="shared" si="20"/>
        <v>155880</v>
      </c>
      <c r="AF42" s="211">
        <f t="shared" si="21"/>
        <v>634589.99999999988</v>
      </c>
      <c r="AG42" s="211">
        <f t="shared" si="22"/>
        <v>290790</v>
      </c>
      <c r="AH42" s="211">
        <f t="shared" si="23"/>
        <v>417419.99999999994</v>
      </c>
      <c r="AI42" s="211">
        <f t="shared" si="24"/>
        <v>168480</v>
      </c>
      <c r="AJ42" s="211">
        <f t="shared" si="25"/>
        <v>72900</v>
      </c>
      <c r="AK42" s="211">
        <f t="shared" si="26"/>
        <v>172440</v>
      </c>
      <c r="AL42" s="211">
        <f t="shared" si="27"/>
        <v>378990</v>
      </c>
      <c r="AM42" s="211">
        <f t="shared" si="28"/>
        <v>153720</v>
      </c>
      <c r="AN42" s="211">
        <f t="shared" si="29"/>
        <v>250830</v>
      </c>
      <c r="AO42" s="211">
        <f t="shared" si="30"/>
        <v>702630</v>
      </c>
      <c r="AP42" s="211">
        <f t="shared" si="31"/>
        <v>26369.999999999996</v>
      </c>
      <c r="AQ42" s="211">
        <f t="shared" si="32"/>
        <v>112140</v>
      </c>
      <c r="AR42" s="211">
        <f t="shared" si="33"/>
        <v>74070</v>
      </c>
      <c r="AS42" s="211">
        <f t="shared" si="34"/>
        <v>313110</v>
      </c>
      <c r="AT42" s="211">
        <f t="shared" si="35"/>
        <v>269460</v>
      </c>
      <c r="AU42" s="219">
        <f t="shared" si="36"/>
        <v>5694750</v>
      </c>
    </row>
    <row r="43" spans="2:47" ht="30">
      <c r="B43" s="277" t="s">
        <v>17</v>
      </c>
      <c r="C43" s="200" t="s">
        <v>218</v>
      </c>
      <c r="D43" s="105">
        <v>0.1</v>
      </c>
      <c r="E43" s="276">
        <v>0.35822305643935137</v>
      </c>
      <c r="F43" s="233" t="s">
        <v>290</v>
      </c>
      <c r="G43" s="211">
        <v>4000</v>
      </c>
      <c r="H43" s="219">
        <f t="shared" si="4"/>
        <v>204.54536522686962</v>
      </c>
      <c r="I43" s="219">
        <f t="shared" si="4"/>
        <v>1.7911152821967569</v>
      </c>
      <c r="J43" s="219">
        <f t="shared" si="5"/>
        <v>1610.1000000000001</v>
      </c>
      <c r="K43" s="219">
        <f t="shared" si="6"/>
        <v>620.44233375295653</v>
      </c>
      <c r="L43" s="219">
        <f t="shared" si="7"/>
        <v>705.1</v>
      </c>
      <c r="M43" s="219">
        <f t="shared" si="7"/>
        <v>323.10000000000002</v>
      </c>
      <c r="N43" s="219">
        <f t="shared" si="7"/>
        <v>463.8</v>
      </c>
      <c r="O43" s="219">
        <f t="shared" si="7"/>
        <v>187.20000000000002</v>
      </c>
      <c r="P43" s="219">
        <f t="shared" si="8"/>
        <v>290.16067571587462</v>
      </c>
      <c r="Q43" s="219">
        <f t="shared" si="9"/>
        <v>191.60000000000002</v>
      </c>
      <c r="R43" s="219">
        <f t="shared" si="9"/>
        <v>421.1</v>
      </c>
      <c r="S43" s="219">
        <f t="shared" si="10"/>
        <v>611.84498039841219</v>
      </c>
      <c r="T43" s="219">
        <f t="shared" si="11"/>
        <v>278.7</v>
      </c>
      <c r="U43" s="219">
        <f t="shared" si="11"/>
        <v>780.7</v>
      </c>
      <c r="V43" s="219">
        <f t="shared" si="12"/>
        <v>104.95935553672996</v>
      </c>
      <c r="W43" s="219">
        <f t="shared" si="13"/>
        <v>124.60000000000001</v>
      </c>
      <c r="X43" s="219">
        <f t="shared" si="14"/>
        <v>294.81757544958617</v>
      </c>
      <c r="Y43" s="219">
        <f t="shared" si="15"/>
        <v>347.90000000000003</v>
      </c>
      <c r="Z43" s="219">
        <f t="shared" si="15"/>
        <v>299.40000000000003</v>
      </c>
      <c r="AA43" s="219">
        <f t="shared" si="16"/>
        <v>7861.8614013626257</v>
      </c>
      <c r="AB43" s="211">
        <f t="shared" si="17"/>
        <v>818181.46090747847</v>
      </c>
      <c r="AC43" s="211">
        <f t="shared" si="18"/>
        <v>7164.4611287870275</v>
      </c>
      <c r="AD43" s="211">
        <f t="shared" si="19"/>
        <v>6440400.0000000009</v>
      </c>
      <c r="AE43" s="211">
        <f t="shared" si="20"/>
        <v>2481769.3350118259</v>
      </c>
      <c r="AF43" s="211">
        <f t="shared" si="21"/>
        <v>2820400</v>
      </c>
      <c r="AG43" s="211">
        <f t="shared" si="22"/>
        <v>1292400</v>
      </c>
      <c r="AH43" s="211">
        <f t="shared" si="23"/>
        <v>1855200</v>
      </c>
      <c r="AI43" s="211">
        <f t="shared" si="24"/>
        <v>748800.00000000012</v>
      </c>
      <c r="AJ43" s="211">
        <f t="shared" si="25"/>
        <v>1160642.7028634984</v>
      </c>
      <c r="AK43" s="211">
        <f t="shared" si="26"/>
        <v>766400.00000000012</v>
      </c>
      <c r="AL43" s="211">
        <f t="shared" si="27"/>
        <v>1684400</v>
      </c>
      <c r="AM43" s="211">
        <f t="shared" si="28"/>
        <v>2447379.9215936488</v>
      </c>
      <c r="AN43" s="211">
        <f t="shared" si="29"/>
        <v>1114800</v>
      </c>
      <c r="AO43" s="211">
        <f t="shared" si="30"/>
        <v>3122800</v>
      </c>
      <c r="AP43" s="211">
        <f t="shared" si="31"/>
        <v>419837.42214691982</v>
      </c>
      <c r="AQ43" s="211">
        <f t="shared" si="32"/>
        <v>498400.00000000006</v>
      </c>
      <c r="AR43" s="211">
        <f t="shared" si="33"/>
        <v>1179270.3017983446</v>
      </c>
      <c r="AS43" s="211">
        <f t="shared" si="34"/>
        <v>1391600.0000000002</v>
      </c>
      <c r="AT43" s="211">
        <f t="shared" si="35"/>
        <v>1197600.0000000002</v>
      </c>
      <c r="AU43" s="219">
        <f t="shared" si="36"/>
        <v>31447445.605450504</v>
      </c>
    </row>
    <row r="44" spans="2:47">
      <c r="B44" s="476" t="s">
        <v>189</v>
      </c>
      <c r="C44" s="200" t="s">
        <v>217</v>
      </c>
      <c r="D44" s="105">
        <v>1.1400000000000001</v>
      </c>
      <c r="E44" s="274">
        <f>D44</f>
        <v>1.1400000000000001</v>
      </c>
      <c r="F44" s="233"/>
      <c r="G44" s="211">
        <v>500</v>
      </c>
      <c r="H44" s="219">
        <f t="shared" si="4"/>
        <v>650.94000000000005</v>
      </c>
      <c r="I44" s="219">
        <f t="shared" si="4"/>
        <v>5.7000000000000011</v>
      </c>
      <c r="J44" s="219">
        <f t="shared" si="5"/>
        <v>18355.140000000003</v>
      </c>
      <c r="K44" s="219">
        <f t="shared" si="6"/>
        <v>1974.4800000000002</v>
      </c>
      <c r="L44" s="219">
        <f t="shared" si="7"/>
        <v>8038.1400000000012</v>
      </c>
      <c r="M44" s="219">
        <f t="shared" si="7"/>
        <v>3683.3400000000006</v>
      </c>
      <c r="N44" s="219">
        <f t="shared" si="7"/>
        <v>5287.3200000000006</v>
      </c>
      <c r="O44" s="219">
        <f t="shared" si="7"/>
        <v>2134.0800000000004</v>
      </c>
      <c r="P44" s="219">
        <f t="shared" si="8"/>
        <v>923.40000000000009</v>
      </c>
      <c r="Q44" s="219">
        <f t="shared" si="9"/>
        <v>2184.2400000000002</v>
      </c>
      <c r="R44" s="219">
        <f t="shared" si="9"/>
        <v>4800.5400000000009</v>
      </c>
      <c r="S44" s="219">
        <f t="shared" si="10"/>
        <v>1947.1200000000001</v>
      </c>
      <c r="T44" s="219">
        <f t="shared" si="11"/>
        <v>3177.1800000000003</v>
      </c>
      <c r="U44" s="219">
        <f t="shared" si="11"/>
        <v>8899.9800000000014</v>
      </c>
      <c r="V44" s="219">
        <f t="shared" si="12"/>
        <v>334.02000000000004</v>
      </c>
      <c r="W44" s="219">
        <f t="shared" si="13"/>
        <v>1420.44</v>
      </c>
      <c r="X44" s="219">
        <f t="shared" si="14"/>
        <v>938.22000000000014</v>
      </c>
      <c r="Y44" s="219">
        <f t="shared" si="15"/>
        <v>3966.0600000000004</v>
      </c>
      <c r="Z44" s="219">
        <f t="shared" si="15"/>
        <v>3413.1600000000003</v>
      </c>
      <c r="AA44" s="219">
        <f t="shared" si="16"/>
        <v>72133.500000000015</v>
      </c>
      <c r="AB44" s="211">
        <f t="shared" si="17"/>
        <v>325470</v>
      </c>
      <c r="AC44" s="211">
        <f t="shared" si="18"/>
        <v>2850.0000000000005</v>
      </c>
      <c r="AD44" s="211">
        <f t="shared" si="19"/>
        <v>9177570.0000000019</v>
      </c>
      <c r="AE44" s="211">
        <f t="shared" si="20"/>
        <v>987240.00000000012</v>
      </c>
      <c r="AF44" s="211">
        <f t="shared" si="21"/>
        <v>4019070.0000000005</v>
      </c>
      <c r="AG44" s="211">
        <f t="shared" si="22"/>
        <v>1841670.0000000002</v>
      </c>
      <c r="AH44" s="211">
        <f t="shared" si="23"/>
        <v>2643660.0000000005</v>
      </c>
      <c r="AI44" s="211">
        <f t="shared" si="24"/>
        <v>1067040.0000000002</v>
      </c>
      <c r="AJ44" s="211">
        <f t="shared" si="25"/>
        <v>461700.00000000006</v>
      </c>
      <c r="AK44" s="211">
        <f t="shared" si="26"/>
        <v>1092120.0000000002</v>
      </c>
      <c r="AL44" s="211">
        <f t="shared" si="27"/>
        <v>2400270.0000000005</v>
      </c>
      <c r="AM44" s="211">
        <f t="shared" si="28"/>
        <v>973560.00000000012</v>
      </c>
      <c r="AN44" s="211">
        <f t="shared" si="29"/>
        <v>1588590.0000000002</v>
      </c>
      <c r="AO44" s="211">
        <f t="shared" si="30"/>
        <v>4449990.0000000009</v>
      </c>
      <c r="AP44" s="211">
        <f t="shared" si="31"/>
        <v>167010.00000000003</v>
      </c>
      <c r="AQ44" s="211">
        <f t="shared" si="32"/>
        <v>710220</v>
      </c>
      <c r="AR44" s="211">
        <f t="shared" si="33"/>
        <v>469110.00000000006</v>
      </c>
      <c r="AS44" s="211">
        <f t="shared" si="34"/>
        <v>1983030.0000000002</v>
      </c>
      <c r="AT44" s="211">
        <f t="shared" si="35"/>
        <v>1706580.0000000002</v>
      </c>
      <c r="AU44" s="219">
        <f t="shared" si="36"/>
        <v>36066750.000000007</v>
      </c>
    </row>
    <row r="45" spans="2:47">
      <c r="B45" s="477"/>
      <c r="C45" s="200" t="s">
        <v>216</v>
      </c>
      <c r="D45" s="105">
        <v>0.4404179995949109</v>
      </c>
      <c r="E45" s="274">
        <f>D45</f>
        <v>0.4404179995949109</v>
      </c>
      <c r="F45" s="233"/>
      <c r="G45" s="211">
        <v>750</v>
      </c>
      <c r="H45" s="219">
        <f t="shared" si="4"/>
        <v>251.47867776869413</v>
      </c>
      <c r="I45" s="219">
        <f t="shared" si="4"/>
        <v>2.2020899979745545</v>
      </c>
      <c r="J45" s="219">
        <f t="shared" si="5"/>
        <v>7091.1702114776608</v>
      </c>
      <c r="K45" s="219">
        <f t="shared" si="6"/>
        <v>762.80397529838569</v>
      </c>
      <c r="L45" s="219">
        <f t="shared" si="7"/>
        <v>3105.3873151437169</v>
      </c>
      <c r="M45" s="219">
        <f t="shared" si="7"/>
        <v>1422.9905566911571</v>
      </c>
      <c r="N45" s="219">
        <f t="shared" si="7"/>
        <v>2042.6586821211968</v>
      </c>
      <c r="O45" s="219">
        <f t="shared" si="7"/>
        <v>824.4624952416732</v>
      </c>
      <c r="P45" s="219">
        <f t="shared" si="8"/>
        <v>356.73857967187786</v>
      </c>
      <c r="Q45" s="219">
        <f t="shared" si="9"/>
        <v>843.84088722384934</v>
      </c>
      <c r="R45" s="219">
        <f t="shared" si="9"/>
        <v>1854.6001962941698</v>
      </c>
      <c r="S45" s="219">
        <f t="shared" si="10"/>
        <v>752.23394330810777</v>
      </c>
      <c r="T45" s="219">
        <f t="shared" si="11"/>
        <v>1227.4449648710167</v>
      </c>
      <c r="U45" s="219">
        <f t="shared" si="11"/>
        <v>3438.3433228374693</v>
      </c>
      <c r="V45" s="219">
        <f t="shared" si="12"/>
        <v>129.04247388130889</v>
      </c>
      <c r="W45" s="219">
        <f t="shared" si="13"/>
        <v>548.76082749525904</v>
      </c>
      <c r="X45" s="219">
        <f t="shared" si="14"/>
        <v>362.46401366661166</v>
      </c>
      <c r="Y45" s="219">
        <f t="shared" si="15"/>
        <v>1532.214220590695</v>
      </c>
      <c r="Z45" s="219">
        <f t="shared" si="15"/>
        <v>1318.6114907871633</v>
      </c>
      <c r="AA45" s="219">
        <f t="shared" si="16"/>
        <v>27867.448924367989</v>
      </c>
      <c r="AB45" s="211">
        <f t="shared" si="17"/>
        <v>188609.00832652059</v>
      </c>
      <c r="AC45" s="211">
        <f t="shared" si="18"/>
        <v>1651.5674984809159</v>
      </c>
      <c r="AD45" s="211">
        <f t="shared" si="19"/>
        <v>5318377.6586082457</v>
      </c>
      <c r="AE45" s="211">
        <f t="shared" si="20"/>
        <v>572102.98147378932</v>
      </c>
      <c r="AF45" s="211">
        <f t="shared" si="21"/>
        <v>2329040.4863577876</v>
      </c>
      <c r="AG45" s="211">
        <f t="shared" si="22"/>
        <v>1067242.9175183678</v>
      </c>
      <c r="AH45" s="211">
        <f t="shared" si="23"/>
        <v>1531994.0115908976</v>
      </c>
      <c r="AI45" s="211">
        <f t="shared" si="24"/>
        <v>618346.8714312549</v>
      </c>
      <c r="AJ45" s="211">
        <f t="shared" si="25"/>
        <v>267553.93475390837</v>
      </c>
      <c r="AK45" s="211">
        <f t="shared" si="26"/>
        <v>632880.66541788704</v>
      </c>
      <c r="AL45" s="211">
        <f t="shared" si="27"/>
        <v>1390950.1472206274</v>
      </c>
      <c r="AM45" s="211">
        <f t="shared" si="28"/>
        <v>564175.45748108078</v>
      </c>
      <c r="AN45" s="211">
        <f t="shared" si="29"/>
        <v>920583.7236532626</v>
      </c>
      <c r="AO45" s="211">
        <f t="shared" si="30"/>
        <v>2578757.4921281021</v>
      </c>
      <c r="AP45" s="211">
        <f t="shared" si="31"/>
        <v>96781.855410981676</v>
      </c>
      <c r="AQ45" s="211">
        <f t="shared" si="32"/>
        <v>411570.62062144425</v>
      </c>
      <c r="AR45" s="211">
        <f t="shared" si="33"/>
        <v>271848.01024995872</v>
      </c>
      <c r="AS45" s="211">
        <f t="shared" si="34"/>
        <v>1149160.6654430213</v>
      </c>
      <c r="AT45" s="211">
        <f t="shared" si="35"/>
        <v>988958.61809037253</v>
      </c>
      <c r="AU45" s="219">
        <f t="shared" si="36"/>
        <v>20900586.693275992</v>
      </c>
    </row>
    <row r="46" spans="2:47">
      <c r="B46" s="477"/>
      <c r="C46" s="200" t="s">
        <v>215</v>
      </c>
      <c r="D46" s="105">
        <v>0.58609749999999994</v>
      </c>
      <c r="E46" s="274">
        <f>D46</f>
        <v>0.58609749999999994</v>
      </c>
      <c r="F46" s="233"/>
      <c r="G46" s="211">
        <v>150</v>
      </c>
      <c r="H46" s="219">
        <f t="shared" si="4"/>
        <v>334.66167249999995</v>
      </c>
      <c r="I46" s="219">
        <f t="shared" si="4"/>
        <v>2.9304874999999999</v>
      </c>
      <c r="J46" s="219">
        <f t="shared" si="5"/>
        <v>9436.7558474999987</v>
      </c>
      <c r="K46" s="219">
        <f t="shared" si="6"/>
        <v>1015.1208699999999</v>
      </c>
      <c r="L46" s="219">
        <f t="shared" si="7"/>
        <v>4132.5734724999993</v>
      </c>
      <c r="M46" s="219">
        <f t="shared" si="7"/>
        <v>1893.6810224999997</v>
      </c>
      <c r="N46" s="219">
        <f t="shared" si="7"/>
        <v>2718.3202049999995</v>
      </c>
      <c r="O46" s="219">
        <f t="shared" si="7"/>
        <v>1097.1745199999998</v>
      </c>
      <c r="P46" s="219">
        <f t="shared" si="8"/>
        <v>474.73897499999993</v>
      </c>
      <c r="Q46" s="219">
        <f t="shared" si="9"/>
        <v>1122.96281</v>
      </c>
      <c r="R46" s="219">
        <f t="shared" si="9"/>
        <v>2468.0565724999997</v>
      </c>
      <c r="S46" s="219">
        <f t="shared" si="10"/>
        <v>1001.0545299999999</v>
      </c>
      <c r="T46" s="219">
        <f t="shared" si="11"/>
        <v>1633.4537324999999</v>
      </c>
      <c r="U46" s="219">
        <f t="shared" si="11"/>
        <v>4575.6631824999995</v>
      </c>
      <c r="V46" s="219">
        <f t="shared" si="12"/>
        <v>171.72656749999999</v>
      </c>
      <c r="W46" s="219">
        <f t="shared" si="13"/>
        <v>730.27748499999996</v>
      </c>
      <c r="X46" s="219">
        <f t="shared" si="14"/>
        <v>482.35824249999996</v>
      </c>
      <c r="Y46" s="219">
        <f t="shared" si="15"/>
        <v>2039.0332024999998</v>
      </c>
      <c r="Z46" s="219">
        <f t="shared" si="15"/>
        <v>1754.7759149999997</v>
      </c>
      <c r="AA46" s="219">
        <f t="shared" si="16"/>
        <v>37085.319312500003</v>
      </c>
      <c r="AB46" s="211">
        <f t="shared" si="17"/>
        <v>50199.250874999991</v>
      </c>
      <c r="AC46" s="211">
        <f t="shared" si="18"/>
        <v>439.573125</v>
      </c>
      <c r="AD46" s="211">
        <f t="shared" si="19"/>
        <v>1415513.3771249999</v>
      </c>
      <c r="AE46" s="211">
        <f t="shared" si="20"/>
        <v>152268.13049999997</v>
      </c>
      <c r="AF46" s="211">
        <f t="shared" si="21"/>
        <v>619886.02087499993</v>
      </c>
      <c r="AG46" s="211">
        <f t="shared" si="22"/>
        <v>284052.15337499994</v>
      </c>
      <c r="AH46" s="211">
        <f t="shared" si="23"/>
        <v>407748.03074999992</v>
      </c>
      <c r="AI46" s="211">
        <f t="shared" si="24"/>
        <v>164576.17799999996</v>
      </c>
      <c r="AJ46" s="211">
        <f t="shared" si="25"/>
        <v>71210.846249999988</v>
      </c>
      <c r="AK46" s="211">
        <f t="shared" si="26"/>
        <v>168444.4215</v>
      </c>
      <c r="AL46" s="211">
        <f t="shared" si="27"/>
        <v>370208.48587499995</v>
      </c>
      <c r="AM46" s="211">
        <f t="shared" si="28"/>
        <v>150158.17949999997</v>
      </c>
      <c r="AN46" s="211">
        <f t="shared" si="29"/>
        <v>245018.05987499998</v>
      </c>
      <c r="AO46" s="211">
        <f t="shared" si="30"/>
        <v>686349.4773749999</v>
      </c>
      <c r="AP46" s="211">
        <f t="shared" si="31"/>
        <v>25758.985124999999</v>
      </c>
      <c r="AQ46" s="211">
        <f t="shared" si="32"/>
        <v>109541.62274999999</v>
      </c>
      <c r="AR46" s="211">
        <f t="shared" si="33"/>
        <v>72353.736374999993</v>
      </c>
      <c r="AS46" s="211">
        <f t="shared" si="34"/>
        <v>305854.98037499998</v>
      </c>
      <c r="AT46" s="211">
        <f t="shared" si="35"/>
        <v>263216.38724999997</v>
      </c>
      <c r="AU46" s="219">
        <f t="shared" si="36"/>
        <v>5562797.8968749996</v>
      </c>
    </row>
    <row r="47" spans="2:47" ht="30">
      <c r="B47" s="477"/>
      <c r="C47" s="200" t="s">
        <v>214</v>
      </c>
      <c r="D47" s="105">
        <v>0.4</v>
      </c>
      <c r="E47" s="274">
        <v>0.60399999999999998</v>
      </c>
      <c r="F47" s="233" t="s">
        <v>290</v>
      </c>
      <c r="G47" s="211">
        <v>350</v>
      </c>
      <c r="H47" s="219">
        <f t="shared" si="4"/>
        <v>344.88400000000001</v>
      </c>
      <c r="I47" s="219">
        <f t="shared" si="4"/>
        <v>3.02</v>
      </c>
      <c r="J47" s="219">
        <f t="shared" si="5"/>
        <v>6440.4000000000005</v>
      </c>
      <c r="K47" s="219">
        <f t="shared" si="6"/>
        <v>1046.1279999999999</v>
      </c>
      <c r="L47" s="219">
        <f t="shared" si="7"/>
        <v>2820.4</v>
      </c>
      <c r="M47" s="219">
        <f t="shared" si="7"/>
        <v>1292.4000000000001</v>
      </c>
      <c r="N47" s="219">
        <f t="shared" si="7"/>
        <v>1855.2</v>
      </c>
      <c r="O47" s="219">
        <f t="shared" si="7"/>
        <v>748.80000000000007</v>
      </c>
      <c r="P47" s="219">
        <f t="shared" si="8"/>
        <v>489.24</v>
      </c>
      <c r="Q47" s="219">
        <f t="shared" si="9"/>
        <v>766.40000000000009</v>
      </c>
      <c r="R47" s="219">
        <f t="shared" si="9"/>
        <v>1684.4</v>
      </c>
      <c r="S47" s="219">
        <f t="shared" si="10"/>
        <v>1031.6320000000001</v>
      </c>
      <c r="T47" s="219">
        <f t="shared" si="11"/>
        <v>1114.8</v>
      </c>
      <c r="U47" s="219">
        <f t="shared" si="11"/>
        <v>3122.8</v>
      </c>
      <c r="V47" s="219">
        <f t="shared" si="12"/>
        <v>176.97200000000001</v>
      </c>
      <c r="W47" s="219">
        <f t="shared" si="13"/>
        <v>498.40000000000003</v>
      </c>
      <c r="X47" s="219">
        <f t="shared" si="14"/>
        <v>497.09199999999998</v>
      </c>
      <c r="Y47" s="219">
        <f t="shared" si="15"/>
        <v>1391.6000000000001</v>
      </c>
      <c r="Z47" s="219">
        <f t="shared" si="15"/>
        <v>1197.6000000000001</v>
      </c>
      <c r="AA47" s="219">
        <f t="shared" si="16"/>
        <v>26522.168000000001</v>
      </c>
      <c r="AB47" s="211">
        <f t="shared" si="17"/>
        <v>120709.40000000001</v>
      </c>
      <c r="AC47" s="211">
        <f t="shared" si="18"/>
        <v>1057</v>
      </c>
      <c r="AD47" s="211">
        <f t="shared" si="19"/>
        <v>2254140</v>
      </c>
      <c r="AE47" s="211">
        <f t="shared" si="20"/>
        <v>366144.8</v>
      </c>
      <c r="AF47" s="211">
        <f t="shared" si="21"/>
        <v>987140</v>
      </c>
      <c r="AG47" s="211">
        <f t="shared" si="22"/>
        <v>452340.00000000006</v>
      </c>
      <c r="AH47" s="211">
        <f t="shared" si="23"/>
        <v>649320</v>
      </c>
      <c r="AI47" s="211">
        <f t="shared" si="24"/>
        <v>262080.00000000003</v>
      </c>
      <c r="AJ47" s="211">
        <f t="shared" si="25"/>
        <v>171234</v>
      </c>
      <c r="AK47" s="211">
        <f t="shared" si="26"/>
        <v>268240.00000000006</v>
      </c>
      <c r="AL47" s="211">
        <f t="shared" si="27"/>
        <v>589540</v>
      </c>
      <c r="AM47" s="211">
        <f t="shared" si="28"/>
        <v>361071.2</v>
      </c>
      <c r="AN47" s="211">
        <f t="shared" si="29"/>
        <v>390180</v>
      </c>
      <c r="AO47" s="211">
        <f t="shared" si="30"/>
        <v>1092980</v>
      </c>
      <c r="AP47" s="211">
        <f t="shared" si="31"/>
        <v>61940.200000000004</v>
      </c>
      <c r="AQ47" s="211">
        <f t="shared" si="32"/>
        <v>174440</v>
      </c>
      <c r="AR47" s="211">
        <f t="shared" si="33"/>
        <v>173982.19999999998</v>
      </c>
      <c r="AS47" s="211">
        <f t="shared" si="34"/>
        <v>487060.00000000006</v>
      </c>
      <c r="AT47" s="211">
        <f t="shared" si="35"/>
        <v>419160.00000000006</v>
      </c>
      <c r="AU47" s="219">
        <f t="shared" si="36"/>
        <v>9282758.8000000007</v>
      </c>
    </row>
    <row r="48" spans="2:47" ht="30">
      <c r="B48" s="477"/>
      <c r="C48" s="200" t="s">
        <v>213</v>
      </c>
      <c r="D48" s="105">
        <v>0.4</v>
      </c>
      <c r="E48" s="274">
        <v>0.60399999999999998</v>
      </c>
      <c r="F48" s="233" t="s">
        <v>290</v>
      </c>
      <c r="G48" s="211">
        <v>250</v>
      </c>
      <c r="H48" s="219">
        <f t="shared" si="4"/>
        <v>344.88400000000001</v>
      </c>
      <c r="I48" s="219">
        <f t="shared" si="4"/>
        <v>3.02</v>
      </c>
      <c r="J48" s="219">
        <f t="shared" si="5"/>
        <v>6440.4000000000005</v>
      </c>
      <c r="K48" s="219">
        <f t="shared" si="6"/>
        <v>1046.1279999999999</v>
      </c>
      <c r="L48" s="219">
        <f t="shared" si="7"/>
        <v>2820.4</v>
      </c>
      <c r="M48" s="219">
        <f t="shared" si="7"/>
        <v>1292.4000000000001</v>
      </c>
      <c r="N48" s="219">
        <f t="shared" si="7"/>
        <v>1855.2</v>
      </c>
      <c r="O48" s="219">
        <f t="shared" si="7"/>
        <v>748.80000000000007</v>
      </c>
      <c r="P48" s="219">
        <f t="shared" si="8"/>
        <v>489.24</v>
      </c>
      <c r="Q48" s="219">
        <f t="shared" si="9"/>
        <v>766.40000000000009</v>
      </c>
      <c r="R48" s="219">
        <f t="shared" si="9"/>
        <v>1684.4</v>
      </c>
      <c r="S48" s="219">
        <f t="shared" si="10"/>
        <v>1031.6320000000001</v>
      </c>
      <c r="T48" s="219">
        <f t="shared" si="11"/>
        <v>1114.8</v>
      </c>
      <c r="U48" s="219">
        <f t="shared" si="11"/>
        <v>3122.8</v>
      </c>
      <c r="V48" s="219">
        <f t="shared" si="12"/>
        <v>176.97200000000001</v>
      </c>
      <c r="W48" s="219">
        <f t="shared" si="13"/>
        <v>498.40000000000003</v>
      </c>
      <c r="X48" s="219">
        <f t="shared" si="14"/>
        <v>497.09199999999998</v>
      </c>
      <c r="Y48" s="219">
        <f t="shared" si="15"/>
        <v>1391.6000000000001</v>
      </c>
      <c r="Z48" s="219">
        <f t="shared" si="15"/>
        <v>1197.6000000000001</v>
      </c>
      <c r="AA48" s="219">
        <f t="shared" si="16"/>
        <v>26522.168000000001</v>
      </c>
      <c r="AB48" s="211">
        <f t="shared" si="17"/>
        <v>86221</v>
      </c>
      <c r="AC48" s="211">
        <f t="shared" si="18"/>
        <v>755</v>
      </c>
      <c r="AD48" s="211">
        <f t="shared" si="19"/>
        <v>1610100.0000000002</v>
      </c>
      <c r="AE48" s="211">
        <f t="shared" si="20"/>
        <v>261531.99999999997</v>
      </c>
      <c r="AF48" s="211">
        <f t="shared" si="21"/>
        <v>705100</v>
      </c>
      <c r="AG48" s="211">
        <f t="shared" si="22"/>
        <v>323100</v>
      </c>
      <c r="AH48" s="211">
        <f t="shared" si="23"/>
        <v>463800</v>
      </c>
      <c r="AI48" s="211">
        <f t="shared" si="24"/>
        <v>187200.00000000003</v>
      </c>
      <c r="AJ48" s="211">
        <f t="shared" si="25"/>
        <v>122310</v>
      </c>
      <c r="AK48" s="211">
        <f t="shared" si="26"/>
        <v>191600.00000000003</v>
      </c>
      <c r="AL48" s="211">
        <f t="shared" si="27"/>
        <v>421100</v>
      </c>
      <c r="AM48" s="211">
        <f t="shared" si="28"/>
        <v>257908.00000000003</v>
      </c>
      <c r="AN48" s="211">
        <f t="shared" si="29"/>
        <v>278700</v>
      </c>
      <c r="AO48" s="211">
        <f t="shared" si="30"/>
        <v>780700</v>
      </c>
      <c r="AP48" s="211">
        <f t="shared" si="31"/>
        <v>44243</v>
      </c>
      <c r="AQ48" s="211">
        <f t="shared" si="32"/>
        <v>124600.00000000001</v>
      </c>
      <c r="AR48" s="211">
        <f t="shared" si="33"/>
        <v>124273</v>
      </c>
      <c r="AS48" s="211">
        <f t="shared" si="34"/>
        <v>347900.00000000006</v>
      </c>
      <c r="AT48" s="211">
        <f t="shared" si="35"/>
        <v>299400.00000000006</v>
      </c>
      <c r="AU48" s="219">
        <f t="shared" si="36"/>
        <v>6630542</v>
      </c>
    </row>
    <row r="49" spans="2:47">
      <c r="B49" s="477"/>
      <c r="C49" s="200" t="s">
        <v>212</v>
      </c>
      <c r="D49" s="105">
        <v>0.73499999999999999</v>
      </c>
      <c r="E49" s="274">
        <f>D49</f>
        <v>0.73499999999999999</v>
      </c>
      <c r="F49" s="233"/>
      <c r="G49" s="211">
        <v>150</v>
      </c>
      <c r="H49" s="219">
        <f t="shared" si="4"/>
        <v>419.685</v>
      </c>
      <c r="I49" s="219">
        <f t="shared" si="4"/>
        <v>3.6749999999999998</v>
      </c>
      <c r="J49" s="219">
        <f t="shared" si="5"/>
        <v>11834.235000000001</v>
      </c>
      <c r="K49" s="219">
        <f t="shared" si="6"/>
        <v>1273.02</v>
      </c>
      <c r="L49" s="219">
        <f t="shared" si="7"/>
        <v>5182.4849999999997</v>
      </c>
      <c r="M49" s="219">
        <f t="shared" si="7"/>
        <v>2374.7849999999999</v>
      </c>
      <c r="N49" s="219">
        <f t="shared" si="7"/>
        <v>3408.93</v>
      </c>
      <c r="O49" s="219">
        <f t="shared" si="7"/>
        <v>1375.92</v>
      </c>
      <c r="P49" s="219">
        <f t="shared" si="8"/>
        <v>595.35</v>
      </c>
      <c r="Q49" s="219">
        <f t="shared" si="9"/>
        <v>1408.26</v>
      </c>
      <c r="R49" s="219">
        <f t="shared" si="9"/>
        <v>3095.085</v>
      </c>
      <c r="S49" s="219">
        <f t="shared" si="10"/>
        <v>1255.3799999999999</v>
      </c>
      <c r="T49" s="219">
        <f t="shared" si="11"/>
        <v>2048.4450000000002</v>
      </c>
      <c r="U49" s="219">
        <f t="shared" si="11"/>
        <v>5738.1449999999995</v>
      </c>
      <c r="V49" s="219">
        <f t="shared" si="12"/>
        <v>215.35499999999999</v>
      </c>
      <c r="W49" s="219">
        <f t="shared" si="13"/>
        <v>915.81</v>
      </c>
      <c r="X49" s="219">
        <f t="shared" si="14"/>
        <v>604.90499999999997</v>
      </c>
      <c r="Y49" s="219">
        <f t="shared" si="15"/>
        <v>2557.0650000000001</v>
      </c>
      <c r="Z49" s="219">
        <f t="shared" si="15"/>
        <v>2200.59</v>
      </c>
      <c r="AA49" s="219">
        <f t="shared" si="16"/>
        <v>46507.125</v>
      </c>
      <c r="AB49" s="211">
        <f t="shared" si="17"/>
        <v>62952.75</v>
      </c>
      <c r="AC49" s="211">
        <f t="shared" si="18"/>
        <v>551.25</v>
      </c>
      <c r="AD49" s="211">
        <f t="shared" si="19"/>
        <v>1775135.25</v>
      </c>
      <c r="AE49" s="211">
        <f t="shared" si="20"/>
        <v>190953</v>
      </c>
      <c r="AF49" s="211">
        <f t="shared" si="21"/>
        <v>777372.75</v>
      </c>
      <c r="AG49" s="211">
        <f t="shared" si="22"/>
        <v>356217.75</v>
      </c>
      <c r="AH49" s="211">
        <f t="shared" si="23"/>
        <v>511339.5</v>
      </c>
      <c r="AI49" s="211">
        <f t="shared" si="24"/>
        <v>206388</v>
      </c>
      <c r="AJ49" s="211">
        <f t="shared" si="25"/>
        <v>89302.5</v>
      </c>
      <c r="AK49" s="211">
        <f t="shared" si="26"/>
        <v>211239</v>
      </c>
      <c r="AL49" s="211">
        <f t="shared" si="27"/>
        <v>464262.75</v>
      </c>
      <c r="AM49" s="211">
        <f t="shared" si="28"/>
        <v>188306.99999999997</v>
      </c>
      <c r="AN49" s="211">
        <f t="shared" si="29"/>
        <v>307266.75</v>
      </c>
      <c r="AO49" s="211">
        <f t="shared" si="30"/>
        <v>860721.74999999988</v>
      </c>
      <c r="AP49" s="211">
        <f t="shared" si="31"/>
        <v>32303.25</v>
      </c>
      <c r="AQ49" s="211">
        <f t="shared" si="32"/>
        <v>137371.5</v>
      </c>
      <c r="AR49" s="211">
        <f t="shared" si="33"/>
        <v>90735.75</v>
      </c>
      <c r="AS49" s="211">
        <f t="shared" si="34"/>
        <v>383559.75</v>
      </c>
      <c r="AT49" s="211">
        <f t="shared" si="35"/>
        <v>330088.5</v>
      </c>
      <c r="AU49" s="219">
        <f t="shared" si="36"/>
        <v>6976068.75</v>
      </c>
    </row>
    <row r="50" spans="2:47">
      <c r="B50" s="476" t="s">
        <v>188</v>
      </c>
      <c r="C50" s="200" t="s">
        <v>211</v>
      </c>
      <c r="D50" s="105">
        <v>0.92490000000000006</v>
      </c>
      <c r="E50" s="274">
        <f>D50</f>
        <v>0.92490000000000006</v>
      </c>
      <c r="F50" s="233"/>
      <c r="G50" s="211">
        <v>108</v>
      </c>
      <c r="H50" s="219">
        <f t="shared" si="4"/>
        <v>528.11790000000008</v>
      </c>
      <c r="I50" s="219">
        <f t="shared" si="4"/>
        <v>4.6245000000000003</v>
      </c>
      <c r="J50" s="219">
        <f t="shared" si="5"/>
        <v>14891.814900000001</v>
      </c>
      <c r="K50" s="219">
        <f t="shared" si="6"/>
        <v>1601.9268000000002</v>
      </c>
      <c r="L50" s="219">
        <f t="shared" si="7"/>
        <v>6521.4699000000001</v>
      </c>
      <c r="M50" s="219">
        <f t="shared" si="7"/>
        <v>2988.3519000000001</v>
      </c>
      <c r="N50" s="219">
        <f t="shared" si="7"/>
        <v>4289.6862000000001</v>
      </c>
      <c r="O50" s="219">
        <f t="shared" si="7"/>
        <v>1731.4128000000001</v>
      </c>
      <c r="P50" s="219">
        <f t="shared" si="8"/>
        <v>749.1690000000001</v>
      </c>
      <c r="Q50" s="219">
        <f t="shared" si="9"/>
        <v>1772.1084000000001</v>
      </c>
      <c r="R50" s="219">
        <f t="shared" si="9"/>
        <v>3894.7539000000002</v>
      </c>
      <c r="S50" s="219">
        <f t="shared" si="10"/>
        <v>1579.7292</v>
      </c>
      <c r="T50" s="219">
        <f t="shared" si="11"/>
        <v>2577.6963000000001</v>
      </c>
      <c r="U50" s="219">
        <f t="shared" si="11"/>
        <v>7220.6943000000001</v>
      </c>
      <c r="V50" s="219">
        <f t="shared" si="12"/>
        <v>270.9957</v>
      </c>
      <c r="W50" s="219">
        <f t="shared" si="13"/>
        <v>1152.4254000000001</v>
      </c>
      <c r="X50" s="219">
        <f t="shared" si="14"/>
        <v>761.19270000000006</v>
      </c>
      <c r="Y50" s="219">
        <f t="shared" si="15"/>
        <v>3217.7271000000001</v>
      </c>
      <c r="Z50" s="219">
        <f t="shared" si="15"/>
        <v>2769.1505999999999</v>
      </c>
      <c r="AA50" s="219">
        <f t="shared" si="16"/>
        <v>58523.047500000008</v>
      </c>
      <c r="AB50" s="211">
        <f t="shared" si="17"/>
        <v>57036.73320000001</v>
      </c>
      <c r="AC50" s="211">
        <f t="shared" si="18"/>
        <v>499.44600000000003</v>
      </c>
      <c r="AD50" s="211">
        <f t="shared" si="19"/>
        <v>1608316.0092000002</v>
      </c>
      <c r="AE50" s="211">
        <f t="shared" si="20"/>
        <v>173008.09440000003</v>
      </c>
      <c r="AF50" s="211">
        <f t="shared" si="21"/>
        <v>704318.74919999996</v>
      </c>
      <c r="AG50" s="211">
        <f t="shared" si="22"/>
        <v>322742.00520000001</v>
      </c>
      <c r="AH50" s="211">
        <f t="shared" si="23"/>
        <v>463286.10960000003</v>
      </c>
      <c r="AI50" s="211">
        <f t="shared" si="24"/>
        <v>186992.58240000001</v>
      </c>
      <c r="AJ50" s="211">
        <f t="shared" si="25"/>
        <v>80910.252000000008</v>
      </c>
      <c r="AK50" s="211">
        <f t="shared" si="26"/>
        <v>191387.7072</v>
      </c>
      <c r="AL50" s="211">
        <f t="shared" si="27"/>
        <v>420633.42120000004</v>
      </c>
      <c r="AM50" s="211">
        <f t="shared" si="28"/>
        <v>170610.7536</v>
      </c>
      <c r="AN50" s="211">
        <f t="shared" si="29"/>
        <v>278391.20040000003</v>
      </c>
      <c r="AO50" s="211">
        <f t="shared" si="30"/>
        <v>779834.98439999996</v>
      </c>
      <c r="AP50" s="211">
        <f t="shared" si="31"/>
        <v>29267.535599999999</v>
      </c>
      <c r="AQ50" s="211">
        <f t="shared" si="32"/>
        <v>124461.94320000001</v>
      </c>
      <c r="AR50" s="211">
        <f t="shared" si="33"/>
        <v>82208.811600000001</v>
      </c>
      <c r="AS50" s="211">
        <f t="shared" si="34"/>
        <v>347514.52679999999</v>
      </c>
      <c r="AT50" s="211">
        <f t="shared" si="35"/>
        <v>299068.2648</v>
      </c>
      <c r="AU50" s="219">
        <f t="shared" si="36"/>
        <v>6320489.1300000018</v>
      </c>
    </row>
    <row r="51" spans="2:47" ht="45">
      <c r="B51" s="477"/>
      <c r="C51" s="200" t="s">
        <v>210</v>
      </c>
      <c r="D51" s="275">
        <v>0.7</v>
      </c>
      <c r="E51" s="274">
        <v>0.73</v>
      </c>
      <c r="F51" s="233" t="s">
        <v>289</v>
      </c>
      <c r="G51" s="211">
        <v>900</v>
      </c>
      <c r="H51" s="219">
        <f t="shared" si="4"/>
        <v>416.83</v>
      </c>
      <c r="I51" s="219">
        <f t="shared" si="4"/>
        <v>3.65</v>
      </c>
      <c r="J51" s="219">
        <f t="shared" si="5"/>
        <v>11270.699999999999</v>
      </c>
      <c r="K51" s="219">
        <f t="shared" si="6"/>
        <v>1264.3599999999999</v>
      </c>
      <c r="L51" s="219">
        <f t="shared" si="7"/>
        <v>4935.7</v>
      </c>
      <c r="M51" s="219">
        <f t="shared" si="7"/>
        <v>2261.6999999999998</v>
      </c>
      <c r="N51" s="219">
        <f t="shared" si="7"/>
        <v>3246.6</v>
      </c>
      <c r="O51" s="219">
        <f t="shared" si="7"/>
        <v>1310.3999999999999</v>
      </c>
      <c r="P51" s="219">
        <f t="shared" si="8"/>
        <v>591.29999999999995</v>
      </c>
      <c r="Q51" s="219">
        <f t="shared" si="9"/>
        <v>1341.1999999999998</v>
      </c>
      <c r="R51" s="219">
        <f t="shared" si="9"/>
        <v>2947.7</v>
      </c>
      <c r="S51" s="219">
        <f t="shared" si="10"/>
        <v>1246.8399999999999</v>
      </c>
      <c r="T51" s="219">
        <f t="shared" si="11"/>
        <v>1950.8999999999999</v>
      </c>
      <c r="U51" s="219">
        <f t="shared" si="11"/>
        <v>5464.9</v>
      </c>
      <c r="V51" s="219">
        <f t="shared" si="12"/>
        <v>213.89</v>
      </c>
      <c r="W51" s="219">
        <f t="shared" si="13"/>
        <v>872.19999999999993</v>
      </c>
      <c r="X51" s="219">
        <f t="shared" si="14"/>
        <v>600.79</v>
      </c>
      <c r="Y51" s="219">
        <f t="shared" si="15"/>
        <v>2435.2999999999997</v>
      </c>
      <c r="Z51" s="219">
        <f t="shared" si="15"/>
        <v>2095.7999999999997</v>
      </c>
      <c r="AA51" s="219">
        <f t="shared" si="16"/>
        <v>44470.76</v>
      </c>
      <c r="AB51" s="211">
        <f t="shared" si="17"/>
        <v>375147</v>
      </c>
      <c r="AC51" s="211">
        <f t="shared" si="18"/>
        <v>3285</v>
      </c>
      <c r="AD51" s="211">
        <f t="shared" si="19"/>
        <v>10143629.999999998</v>
      </c>
      <c r="AE51" s="211">
        <f t="shared" si="20"/>
        <v>1137924</v>
      </c>
      <c r="AF51" s="211">
        <f t="shared" si="21"/>
        <v>4442130</v>
      </c>
      <c r="AG51" s="211">
        <f t="shared" si="22"/>
        <v>2035529.9999999998</v>
      </c>
      <c r="AH51" s="211">
        <f t="shared" si="23"/>
        <v>2921940</v>
      </c>
      <c r="AI51" s="211">
        <f t="shared" si="24"/>
        <v>1179359.9999999998</v>
      </c>
      <c r="AJ51" s="211">
        <f t="shared" si="25"/>
        <v>532170</v>
      </c>
      <c r="AK51" s="211">
        <f t="shared" si="26"/>
        <v>1207079.9999999998</v>
      </c>
      <c r="AL51" s="211">
        <f t="shared" si="27"/>
        <v>2652930</v>
      </c>
      <c r="AM51" s="211">
        <f t="shared" si="28"/>
        <v>1122156</v>
      </c>
      <c r="AN51" s="211">
        <f t="shared" si="29"/>
        <v>1755809.9999999998</v>
      </c>
      <c r="AO51" s="211">
        <f t="shared" si="30"/>
        <v>4918410</v>
      </c>
      <c r="AP51" s="211">
        <f t="shared" si="31"/>
        <v>192501</v>
      </c>
      <c r="AQ51" s="211">
        <f t="shared" si="32"/>
        <v>784979.99999999988</v>
      </c>
      <c r="AR51" s="211">
        <f t="shared" si="33"/>
        <v>540711</v>
      </c>
      <c r="AS51" s="211">
        <f t="shared" si="34"/>
        <v>2191769.9999999995</v>
      </c>
      <c r="AT51" s="211">
        <f t="shared" si="35"/>
        <v>1886219.9999999998</v>
      </c>
      <c r="AU51" s="219">
        <f t="shared" si="36"/>
        <v>40023684</v>
      </c>
    </row>
    <row r="52" spans="2:47">
      <c r="B52" s="476" t="s">
        <v>209</v>
      </c>
      <c r="C52" s="200" t="s">
        <v>208</v>
      </c>
      <c r="D52" s="105">
        <v>0.1</v>
      </c>
      <c r="E52" s="274">
        <f>D52</f>
        <v>0.1</v>
      </c>
      <c r="F52" s="233"/>
      <c r="G52" s="211">
        <v>1095</v>
      </c>
      <c r="H52" s="219">
        <f t="shared" si="4"/>
        <v>57.1</v>
      </c>
      <c r="I52" s="219">
        <f t="shared" si="4"/>
        <v>0.5</v>
      </c>
      <c r="J52" s="219">
        <f t="shared" si="5"/>
        <v>1610.1000000000001</v>
      </c>
      <c r="K52" s="219">
        <f t="shared" si="6"/>
        <v>173.20000000000002</v>
      </c>
      <c r="L52" s="219">
        <f t="shared" si="7"/>
        <v>705.1</v>
      </c>
      <c r="M52" s="219">
        <f t="shared" si="7"/>
        <v>323.10000000000002</v>
      </c>
      <c r="N52" s="219">
        <f t="shared" si="7"/>
        <v>463.8</v>
      </c>
      <c r="O52" s="219">
        <f t="shared" si="7"/>
        <v>187.20000000000002</v>
      </c>
      <c r="P52" s="219">
        <f t="shared" si="8"/>
        <v>81</v>
      </c>
      <c r="Q52" s="219">
        <f t="shared" si="9"/>
        <v>191.60000000000002</v>
      </c>
      <c r="R52" s="219">
        <f t="shared" si="9"/>
        <v>421.1</v>
      </c>
      <c r="S52" s="219">
        <f t="shared" si="10"/>
        <v>170.8</v>
      </c>
      <c r="T52" s="219">
        <f t="shared" si="11"/>
        <v>278.7</v>
      </c>
      <c r="U52" s="219">
        <f t="shared" si="11"/>
        <v>780.7</v>
      </c>
      <c r="V52" s="219">
        <f t="shared" si="12"/>
        <v>29.3</v>
      </c>
      <c r="W52" s="219">
        <f t="shared" si="13"/>
        <v>124.60000000000001</v>
      </c>
      <c r="X52" s="219">
        <f t="shared" si="14"/>
        <v>82.300000000000011</v>
      </c>
      <c r="Y52" s="219">
        <f t="shared" si="15"/>
        <v>347.90000000000003</v>
      </c>
      <c r="Z52" s="219">
        <f t="shared" si="15"/>
        <v>299.40000000000003</v>
      </c>
      <c r="AA52" s="219">
        <f t="shared" si="16"/>
        <v>6327.5</v>
      </c>
      <c r="AB52" s="211">
        <f t="shared" si="17"/>
        <v>62524.5</v>
      </c>
      <c r="AC52" s="211">
        <f t="shared" si="18"/>
        <v>547.5</v>
      </c>
      <c r="AD52" s="211">
        <f t="shared" si="19"/>
        <v>1763059.5000000002</v>
      </c>
      <c r="AE52" s="211">
        <f t="shared" si="20"/>
        <v>189654.00000000003</v>
      </c>
      <c r="AF52" s="211">
        <f t="shared" si="21"/>
        <v>772084.5</v>
      </c>
      <c r="AG52" s="211">
        <f t="shared" si="22"/>
        <v>353794.5</v>
      </c>
      <c r="AH52" s="211">
        <f t="shared" si="23"/>
        <v>507861</v>
      </c>
      <c r="AI52" s="211">
        <f t="shared" si="24"/>
        <v>204984.00000000003</v>
      </c>
      <c r="AJ52" s="211">
        <f t="shared" si="25"/>
        <v>88695</v>
      </c>
      <c r="AK52" s="211">
        <f t="shared" si="26"/>
        <v>209802.00000000003</v>
      </c>
      <c r="AL52" s="211">
        <f t="shared" si="27"/>
        <v>461104.5</v>
      </c>
      <c r="AM52" s="211">
        <f t="shared" si="28"/>
        <v>187026</v>
      </c>
      <c r="AN52" s="211">
        <f t="shared" si="29"/>
        <v>305176.5</v>
      </c>
      <c r="AO52" s="211">
        <f t="shared" si="30"/>
        <v>854866.5</v>
      </c>
      <c r="AP52" s="211">
        <f t="shared" si="31"/>
        <v>32083.5</v>
      </c>
      <c r="AQ52" s="211">
        <f t="shared" si="32"/>
        <v>136437</v>
      </c>
      <c r="AR52" s="211">
        <f t="shared" si="33"/>
        <v>90118.500000000015</v>
      </c>
      <c r="AS52" s="211">
        <f t="shared" si="34"/>
        <v>380950.50000000006</v>
      </c>
      <c r="AT52" s="211">
        <f t="shared" si="35"/>
        <v>327843.00000000006</v>
      </c>
      <c r="AU52" s="219">
        <f t="shared" si="36"/>
        <v>6928612.5</v>
      </c>
    </row>
    <row r="53" spans="2:47">
      <c r="B53" s="477"/>
      <c r="C53" s="200" t="s">
        <v>207</v>
      </c>
      <c r="D53" s="105">
        <v>0.02</v>
      </c>
      <c r="E53" s="274">
        <f>D53</f>
        <v>0.02</v>
      </c>
      <c r="F53" s="233"/>
      <c r="G53" s="211">
        <f>(2350*0.25+3577*0.75)</f>
        <v>3270.25</v>
      </c>
      <c r="H53" s="219">
        <f t="shared" si="4"/>
        <v>11.42</v>
      </c>
      <c r="I53" s="219">
        <f t="shared" si="4"/>
        <v>0.1</v>
      </c>
      <c r="J53" s="219">
        <f t="shared" si="5"/>
        <v>322.02</v>
      </c>
      <c r="K53" s="219">
        <f t="shared" si="6"/>
        <v>34.64</v>
      </c>
      <c r="L53" s="219">
        <f t="shared" si="7"/>
        <v>141.02000000000001</v>
      </c>
      <c r="M53" s="219">
        <f t="shared" si="7"/>
        <v>64.62</v>
      </c>
      <c r="N53" s="219">
        <f t="shared" si="7"/>
        <v>92.76</v>
      </c>
      <c r="O53" s="219">
        <f t="shared" si="7"/>
        <v>37.44</v>
      </c>
      <c r="P53" s="219">
        <f t="shared" si="8"/>
        <v>16.2</v>
      </c>
      <c r="Q53" s="219">
        <f t="shared" si="9"/>
        <v>38.32</v>
      </c>
      <c r="R53" s="219">
        <f t="shared" si="9"/>
        <v>84.22</v>
      </c>
      <c r="S53" s="219">
        <f t="shared" si="10"/>
        <v>34.160000000000004</v>
      </c>
      <c r="T53" s="219">
        <f t="shared" si="11"/>
        <v>55.74</v>
      </c>
      <c r="U53" s="219">
        <f t="shared" si="11"/>
        <v>156.14000000000001</v>
      </c>
      <c r="V53" s="219">
        <f t="shared" si="12"/>
        <v>5.86</v>
      </c>
      <c r="W53" s="219">
        <f t="shared" si="13"/>
        <v>24.92</v>
      </c>
      <c r="X53" s="219">
        <f t="shared" si="14"/>
        <v>16.46</v>
      </c>
      <c r="Y53" s="219">
        <f t="shared" si="15"/>
        <v>69.58</v>
      </c>
      <c r="Z53" s="219">
        <f t="shared" si="15"/>
        <v>59.88</v>
      </c>
      <c r="AA53" s="219">
        <f t="shared" si="16"/>
        <v>1265.5000000000002</v>
      </c>
      <c r="AB53" s="211">
        <f t="shared" si="17"/>
        <v>37346.254999999997</v>
      </c>
      <c r="AC53" s="211">
        <f t="shared" si="18"/>
        <v>327.02500000000003</v>
      </c>
      <c r="AD53" s="211">
        <f t="shared" si="19"/>
        <v>1053085.905</v>
      </c>
      <c r="AE53" s="211">
        <f t="shared" si="20"/>
        <v>113281.46</v>
      </c>
      <c r="AF53" s="211">
        <f t="shared" si="21"/>
        <v>461170.65500000003</v>
      </c>
      <c r="AG53" s="211">
        <f t="shared" si="22"/>
        <v>211323.55500000002</v>
      </c>
      <c r="AH53" s="211">
        <f t="shared" si="23"/>
        <v>303348.39</v>
      </c>
      <c r="AI53" s="211">
        <f t="shared" si="24"/>
        <v>122438.15999999999</v>
      </c>
      <c r="AJ53" s="211">
        <f t="shared" si="25"/>
        <v>52978.049999999996</v>
      </c>
      <c r="AK53" s="211">
        <f t="shared" si="26"/>
        <v>125315.98</v>
      </c>
      <c r="AL53" s="211">
        <f t="shared" si="27"/>
        <v>275420.45500000002</v>
      </c>
      <c r="AM53" s="211">
        <f t="shared" si="28"/>
        <v>111711.74</v>
      </c>
      <c r="AN53" s="211">
        <f t="shared" si="29"/>
        <v>182283.73500000002</v>
      </c>
      <c r="AO53" s="211">
        <f t="shared" si="30"/>
        <v>510616.83500000002</v>
      </c>
      <c r="AP53" s="211">
        <f t="shared" si="31"/>
        <v>19163.665000000001</v>
      </c>
      <c r="AQ53" s="211">
        <f t="shared" si="32"/>
        <v>81494.63</v>
      </c>
      <c r="AR53" s="211">
        <f t="shared" si="33"/>
        <v>53828.315000000002</v>
      </c>
      <c r="AS53" s="211">
        <f t="shared" si="34"/>
        <v>227543.995</v>
      </c>
      <c r="AT53" s="211">
        <f t="shared" si="35"/>
        <v>195822.57</v>
      </c>
      <c r="AU53" s="219">
        <f t="shared" si="36"/>
        <v>4138501.375</v>
      </c>
    </row>
    <row r="54" spans="2:47">
      <c r="B54" s="224" t="s">
        <v>206</v>
      </c>
      <c r="C54" s="200" t="s">
        <v>206</v>
      </c>
      <c r="D54" s="105">
        <v>1</v>
      </c>
      <c r="E54" s="274">
        <f>D54</f>
        <v>1</v>
      </c>
      <c r="F54" s="233"/>
      <c r="G54" s="211">
        <f>0.075*44.9*1*365</f>
        <v>1229.1374999999998</v>
      </c>
      <c r="H54" s="219">
        <f t="shared" si="4"/>
        <v>571</v>
      </c>
      <c r="I54" s="219">
        <f t="shared" si="4"/>
        <v>5</v>
      </c>
      <c r="J54" s="219">
        <f t="shared" si="5"/>
        <v>16101</v>
      </c>
      <c r="K54" s="219">
        <f t="shared" si="6"/>
        <v>1732</v>
      </c>
      <c r="L54" s="219">
        <f t="shared" si="7"/>
        <v>7051</v>
      </c>
      <c r="M54" s="219">
        <f t="shared" si="7"/>
        <v>3231</v>
      </c>
      <c r="N54" s="219">
        <f t="shared" si="7"/>
        <v>4638</v>
      </c>
      <c r="O54" s="219">
        <f t="shared" si="7"/>
        <v>1872</v>
      </c>
      <c r="P54" s="219">
        <f t="shared" si="8"/>
        <v>810</v>
      </c>
      <c r="Q54" s="219">
        <f t="shared" si="9"/>
        <v>1916</v>
      </c>
      <c r="R54" s="219">
        <f t="shared" si="9"/>
        <v>4211</v>
      </c>
      <c r="S54" s="219">
        <f t="shared" si="10"/>
        <v>1708</v>
      </c>
      <c r="T54" s="219">
        <f t="shared" si="11"/>
        <v>2787</v>
      </c>
      <c r="U54" s="219">
        <f t="shared" si="11"/>
        <v>7807</v>
      </c>
      <c r="V54" s="219">
        <f t="shared" si="12"/>
        <v>293</v>
      </c>
      <c r="W54" s="219">
        <f t="shared" si="13"/>
        <v>1246</v>
      </c>
      <c r="X54" s="219">
        <f t="shared" si="14"/>
        <v>823</v>
      </c>
      <c r="Y54" s="219">
        <f t="shared" si="15"/>
        <v>3479</v>
      </c>
      <c r="Z54" s="219">
        <f t="shared" si="15"/>
        <v>2994</v>
      </c>
      <c r="AA54" s="219">
        <f t="shared" si="16"/>
        <v>63275</v>
      </c>
      <c r="AB54" s="211">
        <f t="shared" si="17"/>
        <v>701837.51249999995</v>
      </c>
      <c r="AC54" s="211">
        <f t="shared" si="18"/>
        <v>6145.6874999999991</v>
      </c>
      <c r="AD54" s="211">
        <f t="shared" si="19"/>
        <v>19790342.887499996</v>
      </c>
      <c r="AE54" s="211">
        <f t="shared" si="20"/>
        <v>2128866.15</v>
      </c>
      <c r="AF54" s="211">
        <f t="shared" si="21"/>
        <v>8666648.5124999993</v>
      </c>
      <c r="AG54" s="211">
        <f t="shared" si="22"/>
        <v>3971343.2624999993</v>
      </c>
      <c r="AH54" s="211">
        <f t="shared" si="23"/>
        <v>5700739.7249999987</v>
      </c>
      <c r="AI54" s="211">
        <f t="shared" si="24"/>
        <v>2300945.3999999994</v>
      </c>
      <c r="AJ54" s="211">
        <f t="shared" si="25"/>
        <v>995601.37499999988</v>
      </c>
      <c r="AK54" s="211">
        <f t="shared" si="26"/>
        <v>2355027.4499999997</v>
      </c>
      <c r="AL54" s="211">
        <f t="shared" si="27"/>
        <v>5175898.0124999993</v>
      </c>
      <c r="AM54" s="211">
        <f t="shared" si="28"/>
        <v>2099366.8499999996</v>
      </c>
      <c r="AN54" s="211">
        <f t="shared" si="29"/>
        <v>3425606.2124999994</v>
      </c>
      <c r="AO54" s="211">
        <f t="shared" si="30"/>
        <v>9595876.4624999985</v>
      </c>
      <c r="AP54" s="211">
        <f t="shared" si="31"/>
        <v>360137.28749999992</v>
      </c>
      <c r="AQ54" s="211">
        <f t="shared" si="32"/>
        <v>1531505.3249999997</v>
      </c>
      <c r="AR54" s="211">
        <f t="shared" si="33"/>
        <v>1011580.1624999999</v>
      </c>
      <c r="AS54" s="211">
        <f t="shared" si="34"/>
        <v>4276169.3624999998</v>
      </c>
      <c r="AT54" s="211">
        <f t="shared" si="35"/>
        <v>3680037.6749999993</v>
      </c>
      <c r="AU54" s="219">
        <f t="shared" si="36"/>
        <v>77773675.312499985</v>
      </c>
    </row>
    <row r="55" spans="2:47">
      <c r="B55" s="476" t="s">
        <v>205</v>
      </c>
      <c r="C55" s="200" t="s">
        <v>204</v>
      </c>
      <c r="D55" s="105">
        <v>1.02</v>
      </c>
      <c r="E55" s="274">
        <f>D55</f>
        <v>1.02</v>
      </c>
      <c r="F55" s="233"/>
      <c r="G55" s="211">
        <v>250</v>
      </c>
      <c r="H55" s="219">
        <f t="shared" si="4"/>
        <v>582.41999999999996</v>
      </c>
      <c r="I55" s="219">
        <f t="shared" si="4"/>
        <v>5.0999999999999996</v>
      </c>
      <c r="J55" s="219">
        <f t="shared" si="5"/>
        <v>16423.02</v>
      </c>
      <c r="K55" s="219">
        <f t="shared" si="6"/>
        <v>1766.64</v>
      </c>
      <c r="L55" s="219">
        <f t="shared" si="7"/>
        <v>7192.02</v>
      </c>
      <c r="M55" s="219">
        <f t="shared" si="7"/>
        <v>3295.62</v>
      </c>
      <c r="N55" s="219">
        <f t="shared" si="7"/>
        <v>4730.76</v>
      </c>
      <c r="O55" s="219">
        <f t="shared" si="7"/>
        <v>1909.44</v>
      </c>
      <c r="P55" s="219">
        <f t="shared" si="8"/>
        <v>826.2</v>
      </c>
      <c r="Q55" s="219">
        <f t="shared" si="9"/>
        <v>1954.32</v>
      </c>
      <c r="R55" s="219">
        <f t="shared" si="9"/>
        <v>4295.22</v>
      </c>
      <c r="S55" s="219">
        <f t="shared" si="10"/>
        <v>1742.16</v>
      </c>
      <c r="T55" s="219">
        <f t="shared" si="11"/>
        <v>2842.7400000000002</v>
      </c>
      <c r="U55" s="219">
        <f t="shared" si="11"/>
        <v>7963.14</v>
      </c>
      <c r="V55" s="219">
        <f t="shared" si="12"/>
        <v>298.86</v>
      </c>
      <c r="W55" s="219">
        <f t="shared" si="13"/>
        <v>1270.92</v>
      </c>
      <c r="X55" s="219">
        <f t="shared" si="14"/>
        <v>839.46</v>
      </c>
      <c r="Y55" s="219">
        <f t="shared" si="15"/>
        <v>3548.58</v>
      </c>
      <c r="Z55" s="219">
        <f t="shared" si="15"/>
        <v>3053.88</v>
      </c>
      <c r="AA55" s="219">
        <f t="shared" si="16"/>
        <v>64540.5</v>
      </c>
      <c r="AB55" s="211">
        <f t="shared" si="17"/>
        <v>145605</v>
      </c>
      <c r="AC55" s="211">
        <f t="shared" si="18"/>
        <v>1275</v>
      </c>
      <c r="AD55" s="211">
        <f t="shared" si="19"/>
        <v>4105755</v>
      </c>
      <c r="AE55" s="211">
        <f t="shared" si="20"/>
        <v>441660</v>
      </c>
      <c r="AF55" s="211">
        <f t="shared" si="21"/>
        <v>1798005</v>
      </c>
      <c r="AG55" s="211">
        <f t="shared" si="22"/>
        <v>823905</v>
      </c>
      <c r="AH55" s="211">
        <f t="shared" si="23"/>
        <v>1182690</v>
      </c>
      <c r="AI55" s="211">
        <f t="shared" si="24"/>
        <v>477360</v>
      </c>
      <c r="AJ55" s="211">
        <f t="shared" si="25"/>
        <v>206550</v>
      </c>
      <c r="AK55" s="211">
        <f t="shared" si="26"/>
        <v>488580</v>
      </c>
      <c r="AL55" s="211">
        <f t="shared" si="27"/>
        <v>1073805</v>
      </c>
      <c r="AM55" s="211">
        <f t="shared" si="28"/>
        <v>435540</v>
      </c>
      <c r="AN55" s="211">
        <f t="shared" si="29"/>
        <v>710685.00000000012</v>
      </c>
      <c r="AO55" s="211">
        <f t="shared" si="30"/>
        <v>1990785</v>
      </c>
      <c r="AP55" s="211">
        <f t="shared" si="31"/>
        <v>74715</v>
      </c>
      <c r="AQ55" s="211">
        <f t="shared" si="32"/>
        <v>317730</v>
      </c>
      <c r="AR55" s="211">
        <f t="shared" si="33"/>
        <v>209865</v>
      </c>
      <c r="AS55" s="211">
        <f t="shared" si="34"/>
        <v>887145</v>
      </c>
      <c r="AT55" s="211">
        <f t="shared" si="35"/>
        <v>763470</v>
      </c>
      <c r="AU55" s="219">
        <f t="shared" si="36"/>
        <v>16135125</v>
      </c>
    </row>
    <row r="56" spans="2:47">
      <c r="B56" s="477"/>
      <c r="C56" s="200" t="s">
        <v>203</v>
      </c>
      <c r="D56" s="105">
        <v>1.9896999999999998</v>
      </c>
      <c r="E56" s="274">
        <v>1.99</v>
      </c>
      <c r="F56" s="493" t="s">
        <v>288</v>
      </c>
      <c r="G56" s="211">
        <v>250</v>
      </c>
      <c r="H56" s="219">
        <f t="shared" si="4"/>
        <v>1136.29</v>
      </c>
      <c r="I56" s="219">
        <f t="shared" si="4"/>
        <v>9.9499999999999993</v>
      </c>
      <c r="J56" s="219">
        <f t="shared" si="5"/>
        <v>32036.159699999997</v>
      </c>
      <c r="K56" s="219">
        <f t="shared" si="6"/>
        <v>3446.68</v>
      </c>
      <c r="L56" s="219">
        <f t="shared" si="7"/>
        <v>14029.374699999998</v>
      </c>
      <c r="M56" s="219">
        <f t="shared" si="7"/>
        <v>6428.7206999999989</v>
      </c>
      <c r="N56" s="219">
        <f t="shared" si="7"/>
        <v>9228.2285999999986</v>
      </c>
      <c r="O56" s="219">
        <f t="shared" si="7"/>
        <v>3724.7183999999997</v>
      </c>
      <c r="P56" s="219">
        <f t="shared" si="8"/>
        <v>1611.9</v>
      </c>
      <c r="Q56" s="219">
        <f t="shared" si="9"/>
        <v>3812.2651999999998</v>
      </c>
      <c r="R56" s="219">
        <f t="shared" si="9"/>
        <v>8378.6266999999989</v>
      </c>
      <c r="S56" s="219">
        <f t="shared" si="10"/>
        <v>3398.92</v>
      </c>
      <c r="T56" s="219">
        <f t="shared" si="11"/>
        <v>5545.2938999999997</v>
      </c>
      <c r="U56" s="219">
        <f t="shared" si="11"/>
        <v>15533.587899999999</v>
      </c>
      <c r="V56" s="219">
        <f t="shared" si="12"/>
        <v>583.07000000000005</v>
      </c>
      <c r="W56" s="219">
        <f t="shared" si="13"/>
        <v>2479.1661999999997</v>
      </c>
      <c r="X56" s="219">
        <f t="shared" si="14"/>
        <v>1637.77</v>
      </c>
      <c r="Y56" s="219">
        <f t="shared" si="15"/>
        <v>6922.166299999999</v>
      </c>
      <c r="Z56" s="219">
        <f t="shared" si="15"/>
        <v>5957.1617999999999</v>
      </c>
      <c r="AA56" s="219">
        <f t="shared" si="16"/>
        <v>125900.05009999999</v>
      </c>
      <c r="AB56" s="211">
        <f t="shared" si="17"/>
        <v>284072.5</v>
      </c>
      <c r="AC56" s="211">
        <f t="shared" si="18"/>
        <v>2487.5</v>
      </c>
      <c r="AD56" s="211">
        <f t="shared" si="19"/>
        <v>8009039.9249999989</v>
      </c>
      <c r="AE56" s="211">
        <f t="shared" si="20"/>
        <v>861670</v>
      </c>
      <c r="AF56" s="211">
        <f t="shared" si="21"/>
        <v>3507343.6749999998</v>
      </c>
      <c r="AG56" s="211">
        <f t="shared" si="22"/>
        <v>1607180.1749999998</v>
      </c>
      <c r="AH56" s="211">
        <f t="shared" si="23"/>
        <v>2307057.1499999994</v>
      </c>
      <c r="AI56" s="211">
        <f t="shared" si="24"/>
        <v>931179.6</v>
      </c>
      <c r="AJ56" s="211">
        <f t="shared" si="25"/>
        <v>402975</v>
      </c>
      <c r="AK56" s="211">
        <f t="shared" si="26"/>
        <v>953066.29999999993</v>
      </c>
      <c r="AL56" s="211">
        <f t="shared" si="27"/>
        <v>2094656.6749999998</v>
      </c>
      <c r="AM56" s="211">
        <f t="shared" si="28"/>
        <v>849730</v>
      </c>
      <c r="AN56" s="211">
        <f t="shared" si="29"/>
        <v>1386323.4749999999</v>
      </c>
      <c r="AO56" s="211">
        <f t="shared" si="30"/>
        <v>3883396.9749999996</v>
      </c>
      <c r="AP56" s="211">
        <f t="shared" si="31"/>
        <v>145767.5</v>
      </c>
      <c r="AQ56" s="211">
        <f t="shared" si="32"/>
        <v>619791.54999999993</v>
      </c>
      <c r="AR56" s="211">
        <f t="shared" si="33"/>
        <v>409442.5</v>
      </c>
      <c r="AS56" s="211">
        <f t="shared" si="34"/>
        <v>1730541.5749999997</v>
      </c>
      <c r="AT56" s="211">
        <f t="shared" si="35"/>
        <v>1489290.45</v>
      </c>
      <c r="AU56" s="219">
        <f t="shared" si="36"/>
        <v>31475012.525000002</v>
      </c>
    </row>
    <row r="57" spans="2:47">
      <c r="B57" s="477"/>
      <c r="C57" s="200" t="s">
        <v>202</v>
      </c>
      <c r="D57" s="275">
        <v>0.3</v>
      </c>
      <c r="E57" s="274">
        <v>0.3</v>
      </c>
      <c r="F57" s="494"/>
      <c r="G57" s="211">
        <v>500</v>
      </c>
      <c r="H57" s="219">
        <f t="shared" si="4"/>
        <v>171.29999999999998</v>
      </c>
      <c r="I57" s="219">
        <f t="shared" si="4"/>
        <v>1.5</v>
      </c>
      <c r="J57" s="219">
        <f t="shared" si="5"/>
        <v>4830.3</v>
      </c>
      <c r="K57" s="219">
        <f t="shared" si="6"/>
        <v>519.6</v>
      </c>
      <c r="L57" s="219">
        <f t="shared" si="7"/>
        <v>2115.2999999999997</v>
      </c>
      <c r="M57" s="219">
        <f t="shared" si="7"/>
        <v>969.3</v>
      </c>
      <c r="N57" s="219">
        <f t="shared" si="7"/>
        <v>1391.3999999999999</v>
      </c>
      <c r="O57" s="219">
        <f t="shared" si="7"/>
        <v>561.6</v>
      </c>
      <c r="P57" s="219">
        <f t="shared" si="8"/>
        <v>243</v>
      </c>
      <c r="Q57" s="219">
        <f t="shared" si="9"/>
        <v>574.79999999999995</v>
      </c>
      <c r="R57" s="219">
        <f t="shared" si="9"/>
        <v>1263.3</v>
      </c>
      <c r="S57" s="219">
        <f t="shared" si="10"/>
        <v>512.4</v>
      </c>
      <c r="T57" s="219">
        <f t="shared" si="11"/>
        <v>836.1</v>
      </c>
      <c r="U57" s="219">
        <f t="shared" si="11"/>
        <v>2342.1</v>
      </c>
      <c r="V57" s="219">
        <f t="shared" si="12"/>
        <v>87.899999999999991</v>
      </c>
      <c r="W57" s="219">
        <f t="shared" si="13"/>
        <v>373.8</v>
      </c>
      <c r="X57" s="219">
        <f t="shared" si="14"/>
        <v>246.89999999999998</v>
      </c>
      <c r="Y57" s="219">
        <f t="shared" si="15"/>
        <v>1043.7</v>
      </c>
      <c r="Z57" s="219">
        <f t="shared" si="15"/>
        <v>898.19999999999993</v>
      </c>
      <c r="AA57" s="219">
        <f t="shared" si="16"/>
        <v>18982.5</v>
      </c>
      <c r="AB57" s="211">
        <f t="shared" si="17"/>
        <v>85649.999999999985</v>
      </c>
      <c r="AC57" s="211">
        <f t="shared" si="18"/>
        <v>750</v>
      </c>
      <c r="AD57" s="211">
        <f t="shared" si="19"/>
        <v>2415150</v>
      </c>
      <c r="AE57" s="211">
        <f t="shared" si="20"/>
        <v>259800</v>
      </c>
      <c r="AF57" s="211">
        <f t="shared" si="21"/>
        <v>1057649.9999999998</v>
      </c>
      <c r="AG57" s="211">
        <f t="shared" si="22"/>
        <v>484650</v>
      </c>
      <c r="AH57" s="211">
        <f t="shared" si="23"/>
        <v>695699.99999999988</v>
      </c>
      <c r="AI57" s="211">
        <f t="shared" si="24"/>
        <v>280800</v>
      </c>
      <c r="AJ57" s="211">
        <f t="shared" si="25"/>
        <v>121500</v>
      </c>
      <c r="AK57" s="211">
        <f t="shared" si="26"/>
        <v>287400</v>
      </c>
      <c r="AL57" s="211">
        <f t="shared" si="27"/>
        <v>631650</v>
      </c>
      <c r="AM57" s="211">
        <f t="shared" si="28"/>
        <v>256200</v>
      </c>
      <c r="AN57" s="211">
        <f t="shared" si="29"/>
        <v>418050</v>
      </c>
      <c r="AO57" s="211">
        <f t="shared" si="30"/>
        <v>1171050</v>
      </c>
      <c r="AP57" s="211">
        <f t="shared" si="31"/>
        <v>43949.999999999993</v>
      </c>
      <c r="AQ57" s="211">
        <f t="shared" si="32"/>
        <v>186900</v>
      </c>
      <c r="AR57" s="211">
        <f t="shared" si="33"/>
        <v>123449.99999999999</v>
      </c>
      <c r="AS57" s="211">
        <f t="shared" si="34"/>
        <v>521850</v>
      </c>
      <c r="AT57" s="211">
        <f t="shared" si="35"/>
        <v>449099.99999999994</v>
      </c>
      <c r="AU57" s="219">
        <f t="shared" si="36"/>
        <v>9491250</v>
      </c>
    </row>
    <row r="58" spans="2:47">
      <c r="B58" s="477"/>
      <c r="C58" s="200" t="s">
        <v>201</v>
      </c>
      <c r="D58" s="105">
        <v>1.3823529411764706</v>
      </c>
      <c r="E58" s="274">
        <f>D58</f>
        <v>1.3823529411764706</v>
      </c>
      <c r="F58" s="233"/>
      <c r="G58" s="211">
        <v>200</v>
      </c>
      <c r="H58" s="219">
        <f t="shared" si="4"/>
        <v>789.32352941176464</v>
      </c>
      <c r="I58" s="219">
        <f t="shared" si="4"/>
        <v>6.9117647058823533</v>
      </c>
      <c r="J58" s="219">
        <f t="shared" si="5"/>
        <v>22257.264705882353</v>
      </c>
      <c r="K58" s="219">
        <f t="shared" si="6"/>
        <v>2394.2352941176468</v>
      </c>
      <c r="L58" s="219">
        <f t="shared" si="7"/>
        <v>9746.9705882352937</v>
      </c>
      <c r="M58" s="219">
        <f t="shared" si="7"/>
        <v>4466.3823529411766</v>
      </c>
      <c r="N58" s="219">
        <f t="shared" si="7"/>
        <v>6411.3529411764703</v>
      </c>
      <c r="O58" s="219">
        <f t="shared" si="7"/>
        <v>2587.7647058823527</v>
      </c>
      <c r="P58" s="219">
        <f t="shared" si="8"/>
        <v>1119.7058823529412</v>
      </c>
      <c r="Q58" s="219">
        <f t="shared" si="9"/>
        <v>2648.5882352941176</v>
      </c>
      <c r="R58" s="219">
        <f t="shared" si="9"/>
        <v>5821.0882352941171</v>
      </c>
      <c r="S58" s="219">
        <f t="shared" si="10"/>
        <v>2361.0588235294117</v>
      </c>
      <c r="T58" s="219">
        <f t="shared" si="11"/>
        <v>3852.6176470588234</v>
      </c>
      <c r="U58" s="219">
        <f t="shared" si="11"/>
        <v>10792.029411764706</v>
      </c>
      <c r="V58" s="219">
        <f t="shared" si="12"/>
        <v>405.02941176470586</v>
      </c>
      <c r="W58" s="219">
        <f t="shared" si="13"/>
        <v>1722.4117647058824</v>
      </c>
      <c r="X58" s="219">
        <f t="shared" si="14"/>
        <v>1137.6764705882354</v>
      </c>
      <c r="Y58" s="219">
        <f t="shared" si="15"/>
        <v>4809.2058823529414</v>
      </c>
      <c r="Z58" s="219">
        <f t="shared" si="15"/>
        <v>4138.7647058823532</v>
      </c>
      <c r="AA58" s="219">
        <f t="shared" si="16"/>
        <v>87468.38235294116</v>
      </c>
      <c r="AB58" s="211">
        <f t="shared" si="17"/>
        <v>157864.70588235292</v>
      </c>
      <c r="AC58" s="211">
        <f t="shared" si="18"/>
        <v>1382.3529411764707</v>
      </c>
      <c r="AD58" s="211">
        <f t="shared" si="19"/>
        <v>4451452.9411764704</v>
      </c>
      <c r="AE58" s="211">
        <f t="shared" si="20"/>
        <v>478847.0588235294</v>
      </c>
      <c r="AF58" s="211">
        <f t="shared" si="21"/>
        <v>1949394.1176470588</v>
      </c>
      <c r="AG58" s="211">
        <f t="shared" si="22"/>
        <v>893276.4705882353</v>
      </c>
      <c r="AH58" s="211">
        <f t="shared" si="23"/>
        <v>1282270.588235294</v>
      </c>
      <c r="AI58" s="211">
        <f t="shared" si="24"/>
        <v>517552.94117647054</v>
      </c>
      <c r="AJ58" s="211">
        <f t="shared" si="25"/>
        <v>223941.17647058825</v>
      </c>
      <c r="AK58" s="211">
        <f t="shared" si="26"/>
        <v>529717.6470588235</v>
      </c>
      <c r="AL58" s="211">
        <f t="shared" si="27"/>
        <v>1164217.6470588234</v>
      </c>
      <c r="AM58" s="211">
        <f t="shared" si="28"/>
        <v>472211.76470588235</v>
      </c>
      <c r="AN58" s="211">
        <f t="shared" si="29"/>
        <v>770523.5294117647</v>
      </c>
      <c r="AO58" s="211">
        <f t="shared" si="30"/>
        <v>2158405.8823529412</v>
      </c>
      <c r="AP58" s="211">
        <f t="shared" si="31"/>
        <v>81005.882352941175</v>
      </c>
      <c r="AQ58" s="211">
        <f t="shared" si="32"/>
        <v>344482.3529411765</v>
      </c>
      <c r="AR58" s="211">
        <f t="shared" si="33"/>
        <v>227535.29411764708</v>
      </c>
      <c r="AS58" s="211">
        <f t="shared" si="34"/>
        <v>961841.17647058831</v>
      </c>
      <c r="AT58" s="211">
        <f t="shared" si="35"/>
        <v>827752.9411764706</v>
      </c>
      <c r="AU58" s="219">
        <f t="shared" si="36"/>
        <v>17493676.470588237</v>
      </c>
    </row>
    <row r="59" spans="2:47">
      <c r="B59" s="477"/>
      <c r="C59" s="200" t="s">
        <v>200</v>
      </c>
      <c r="D59" s="105">
        <v>1.8088235294117647</v>
      </c>
      <c r="E59" s="274">
        <f>D59</f>
        <v>1.8088235294117647</v>
      </c>
      <c r="F59" s="233"/>
      <c r="G59" s="211">
        <v>75</v>
      </c>
      <c r="H59" s="219">
        <f t="shared" si="4"/>
        <v>1032.8382352941176</v>
      </c>
      <c r="I59" s="219">
        <f t="shared" si="4"/>
        <v>9.0441176470588243</v>
      </c>
      <c r="J59" s="219">
        <f t="shared" si="5"/>
        <v>29123.867647058825</v>
      </c>
      <c r="K59" s="219">
        <f t="shared" si="6"/>
        <v>3132.8823529411766</v>
      </c>
      <c r="L59" s="219">
        <f t="shared" si="7"/>
        <v>12754.014705882353</v>
      </c>
      <c r="M59" s="219">
        <f t="shared" si="7"/>
        <v>5844.3088235294117</v>
      </c>
      <c r="N59" s="219">
        <f t="shared" si="7"/>
        <v>8389.323529411764</v>
      </c>
      <c r="O59" s="219">
        <f t="shared" si="7"/>
        <v>3386.1176470588234</v>
      </c>
      <c r="P59" s="219">
        <f t="shared" si="8"/>
        <v>1465.1470588235295</v>
      </c>
      <c r="Q59" s="219">
        <f t="shared" si="9"/>
        <v>3465.705882352941</v>
      </c>
      <c r="R59" s="219">
        <f t="shared" si="9"/>
        <v>7616.9558823529414</v>
      </c>
      <c r="S59" s="219">
        <f t="shared" si="10"/>
        <v>3089.4705882352941</v>
      </c>
      <c r="T59" s="219">
        <f t="shared" si="11"/>
        <v>5041.1911764705883</v>
      </c>
      <c r="U59" s="219">
        <f t="shared" si="11"/>
        <v>14121.485294117647</v>
      </c>
      <c r="V59" s="219">
        <f t="shared" si="12"/>
        <v>529.98529411764707</v>
      </c>
      <c r="W59" s="219">
        <f t="shared" si="13"/>
        <v>2253.794117647059</v>
      </c>
      <c r="X59" s="219">
        <f t="shared" si="14"/>
        <v>1488.6617647058824</v>
      </c>
      <c r="Y59" s="219">
        <f t="shared" si="15"/>
        <v>6292.8970588235297</v>
      </c>
      <c r="Z59" s="219">
        <f t="shared" si="15"/>
        <v>5415.6176470588234</v>
      </c>
      <c r="AA59" s="219">
        <f t="shared" si="16"/>
        <v>114453.30882352943</v>
      </c>
      <c r="AB59" s="211">
        <f t="shared" si="17"/>
        <v>77462.867647058811</v>
      </c>
      <c r="AC59" s="211">
        <f t="shared" si="18"/>
        <v>678.30882352941182</v>
      </c>
      <c r="AD59" s="211">
        <f t="shared" si="19"/>
        <v>2184290.073529412</v>
      </c>
      <c r="AE59" s="211">
        <f t="shared" si="20"/>
        <v>234966.17647058825</v>
      </c>
      <c r="AF59" s="211">
        <f t="shared" si="21"/>
        <v>956551.1029411765</v>
      </c>
      <c r="AG59" s="211">
        <f t="shared" si="22"/>
        <v>438323.1617647059</v>
      </c>
      <c r="AH59" s="211">
        <f t="shared" si="23"/>
        <v>629199.26470588229</v>
      </c>
      <c r="AI59" s="211">
        <f t="shared" si="24"/>
        <v>253958.82352941175</v>
      </c>
      <c r="AJ59" s="211">
        <f t="shared" si="25"/>
        <v>109886.02941176471</v>
      </c>
      <c r="AK59" s="211">
        <f t="shared" si="26"/>
        <v>259927.94117647057</v>
      </c>
      <c r="AL59" s="211">
        <f t="shared" si="27"/>
        <v>571271.6911764706</v>
      </c>
      <c r="AM59" s="211">
        <f t="shared" si="28"/>
        <v>231710.29411764705</v>
      </c>
      <c r="AN59" s="211">
        <f t="shared" si="29"/>
        <v>378089.3382352941</v>
      </c>
      <c r="AO59" s="211">
        <f t="shared" si="30"/>
        <v>1059111.3970588236</v>
      </c>
      <c r="AP59" s="211">
        <f t="shared" si="31"/>
        <v>39748.897058823532</v>
      </c>
      <c r="AQ59" s="211">
        <f t="shared" si="32"/>
        <v>169034.55882352943</v>
      </c>
      <c r="AR59" s="211">
        <f t="shared" si="33"/>
        <v>111649.63235294119</v>
      </c>
      <c r="AS59" s="211">
        <f t="shared" si="34"/>
        <v>471967.27941176476</v>
      </c>
      <c r="AT59" s="211">
        <f t="shared" si="35"/>
        <v>406171.32352941175</v>
      </c>
      <c r="AU59" s="219">
        <f t="shared" si="36"/>
        <v>8583998.1617647074</v>
      </c>
    </row>
    <row r="60" spans="2:47">
      <c r="B60" s="476" t="s">
        <v>2</v>
      </c>
      <c r="C60" s="200" t="s">
        <v>199</v>
      </c>
      <c r="D60" s="105">
        <v>0.01</v>
      </c>
      <c r="E60" s="274">
        <f>D60</f>
        <v>0.01</v>
      </c>
      <c r="F60" s="233"/>
      <c r="G60" s="211">
        <v>1152</v>
      </c>
      <c r="H60" s="219">
        <f t="shared" si="4"/>
        <v>5.71</v>
      </c>
      <c r="I60" s="219">
        <f t="shared" si="4"/>
        <v>0.05</v>
      </c>
      <c r="J60" s="219">
        <f t="shared" si="5"/>
        <v>161.01</v>
      </c>
      <c r="K60" s="219">
        <f t="shared" si="6"/>
        <v>17.32</v>
      </c>
      <c r="L60" s="219">
        <f t="shared" si="7"/>
        <v>70.510000000000005</v>
      </c>
      <c r="M60" s="219">
        <f t="shared" si="7"/>
        <v>32.31</v>
      </c>
      <c r="N60" s="219">
        <f t="shared" si="7"/>
        <v>46.38</v>
      </c>
      <c r="O60" s="219">
        <f t="shared" si="7"/>
        <v>18.72</v>
      </c>
      <c r="P60" s="219">
        <f t="shared" si="8"/>
        <v>8.1</v>
      </c>
      <c r="Q60" s="219">
        <f t="shared" si="9"/>
        <v>19.16</v>
      </c>
      <c r="R60" s="219">
        <f t="shared" si="9"/>
        <v>42.11</v>
      </c>
      <c r="S60" s="219">
        <f t="shared" si="10"/>
        <v>17.080000000000002</v>
      </c>
      <c r="T60" s="219">
        <f t="shared" si="11"/>
        <v>27.87</v>
      </c>
      <c r="U60" s="219">
        <f t="shared" si="11"/>
        <v>78.070000000000007</v>
      </c>
      <c r="V60" s="219">
        <f t="shared" si="12"/>
        <v>2.93</v>
      </c>
      <c r="W60" s="219">
        <f t="shared" si="13"/>
        <v>12.46</v>
      </c>
      <c r="X60" s="219">
        <f t="shared" si="14"/>
        <v>8.23</v>
      </c>
      <c r="Y60" s="219">
        <f t="shared" si="15"/>
        <v>34.79</v>
      </c>
      <c r="Z60" s="219">
        <f t="shared" si="15"/>
        <v>29.94</v>
      </c>
      <c r="AA60" s="219">
        <f t="shared" si="16"/>
        <v>632.75000000000011</v>
      </c>
      <c r="AB60" s="211">
        <f t="shared" si="17"/>
        <v>6577.92</v>
      </c>
      <c r="AC60" s="211">
        <f t="shared" si="18"/>
        <v>57.6</v>
      </c>
      <c r="AD60" s="211">
        <f t="shared" si="19"/>
        <v>185483.51999999999</v>
      </c>
      <c r="AE60" s="211">
        <f t="shared" si="20"/>
        <v>19952.64</v>
      </c>
      <c r="AF60" s="211">
        <f t="shared" si="21"/>
        <v>81227.520000000004</v>
      </c>
      <c r="AG60" s="211">
        <f t="shared" si="22"/>
        <v>37221.120000000003</v>
      </c>
      <c r="AH60" s="211">
        <f t="shared" si="23"/>
        <v>53429.760000000002</v>
      </c>
      <c r="AI60" s="211">
        <f t="shared" si="24"/>
        <v>21565.439999999999</v>
      </c>
      <c r="AJ60" s="211">
        <f t="shared" si="25"/>
        <v>9331.1999999999989</v>
      </c>
      <c r="AK60" s="211">
        <f t="shared" si="26"/>
        <v>22072.32</v>
      </c>
      <c r="AL60" s="211">
        <f t="shared" si="27"/>
        <v>48510.720000000001</v>
      </c>
      <c r="AM60" s="211">
        <f t="shared" si="28"/>
        <v>19676.160000000003</v>
      </c>
      <c r="AN60" s="211">
        <f t="shared" si="29"/>
        <v>32106.240000000002</v>
      </c>
      <c r="AO60" s="211">
        <f t="shared" si="30"/>
        <v>89936.640000000014</v>
      </c>
      <c r="AP60" s="211">
        <f t="shared" si="31"/>
        <v>3375.36</v>
      </c>
      <c r="AQ60" s="211">
        <f t="shared" si="32"/>
        <v>14353.920000000002</v>
      </c>
      <c r="AR60" s="211">
        <f t="shared" si="33"/>
        <v>9480.9600000000009</v>
      </c>
      <c r="AS60" s="211">
        <f t="shared" si="34"/>
        <v>40078.080000000002</v>
      </c>
      <c r="AT60" s="211">
        <f t="shared" si="35"/>
        <v>34490.880000000005</v>
      </c>
      <c r="AU60" s="219">
        <f t="shared" si="36"/>
        <v>728928</v>
      </c>
    </row>
    <row r="61" spans="2:47">
      <c r="B61" s="477"/>
      <c r="C61" s="200" t="s">
        <v>198</v>
      </c>
      <c r="D61" s="105">
        <v>0.15</v>
      </c>
      <c r="E61" s="274">
        <f>D61</f>
        <v>0.15</v>
      </c>
      <c r="F61" s="233"/>
      <c r="G61" s="211">
        <v>140</v>
      </c>
      <c r="H61" s="219">
        <f t="shared" si="4"/>
        <v>85.649999999999991</v>
      </c>
      <c r="I61" s="219">
        <f t="shared" si="4"/>
        <v>0.75</v>
      </c>
      <c r="J61" s="219">
        <f t="shared" si="5"/>
        <v>2415.15</v>
      </c>
      <c r="K61" s="219">
        <f t="shared" si="6"/>
        <v>259.8</v>
      </c>
      <c r="L61" s="219">
        <f t="shared" si="7"/>
        <v>1057.6499999999999</v>
      </c>
      <c r="M61" s="219">
        <f t="shared" si="7"/>
        <v>484.65</v>
      </c>
      <c r="N61" s="219">
        <f t="shared" si="7"/>
        <v>695.69999999999993</v>
      </c>
      <c r="O61" s="219">
        <f t="shared" si="7"/>
        <v>280.8</v>
      </c>
      <c r="P61" s="219">
        <f t="shared" si="8"/>
        <v>121.5</v>
      </c>
      <c r="Q61" s="219">
        <f t="shared" si="9"/>
        <v>287.39999999999998</v>
      </c>
      <c r="R61" s="219">
        <f t="shared" si="9"/>
        <v>631.65</v>
      </c>
      <c r="S61" s="219">
        <f t="shared" si="10"/>
        <v>256.2</v>
      </c>
      <c r="T61" s="219">
        <f t="shared" si="11"/>
        <v>418.05</v>
      </c>
      <c r="U61" s="219">
        <f t="shared" si="11"/>
        <v>1171.05</v>
      </c>
      <c r="V61" s="219">
        <f t="shared" si="12"/>
        <v>43.949999999999996</v>
      </c>
      <c r="W61" s="219">
        <f t="shared" si="13"/>
        <v>186.9</v>
      </c>
      <c r="X61" s="219">
        <f t="shared" si="14"/>
        <v>123.44999999999999</v>
      </c>
      <c r="Y61" s="219">
        <f t="shared" si="15"/>
        <v>521.85</v>
      </c>
      <c r="Z61" s="219">
        <f t="shared" si="15"/>
        <v>449.09999999999997</v>
      </c>
      <c r="AA61" s="219">
        <f t="shared" si="16"/>
        <v>9491.25</v>
      </c>
      <c r="AB61" s="211">
        <f t="shared" si="17"/>
        <v>11990.999999999998</v>
      </c>
      <c r="AC61" s="211">
        <f t="shared" si="18"/>
        <v>105</v>
      </c>
      <c r="AD61" s="211">
        <f t="shared" si="19"/>
        <v>338121</v>
      </c>
      <c r="AE61" s="211">
        <f t="shared" si="20"/>
        <v>36372</v>
      </c>
      <c r="AF61" s="211">
        <f t="shared" si="21"/>
        <v>148070.99999999997</v>
      </c>
      <c r="AG61" s="211">
        <f t="shared" si="22"/>
        <v>67851</v>
      </c>
      <c r="AH61" s="211">
        <f t="shared" si="23"/>
        <v>97397.999999999985</v>
      </c>
      <c r="AI61" s="211">
        <f t="shared" si="24"/>
        <v>39312</v>
      </c>
      <c r="AJ61" s="211">
        <f t="shared" si="25"/>
        <v>17010</v>
      </c>
      <c r="AK61" s="211">
        <f t="shared" si="26"/>
        <v>40236</v>
      </c>
      <c r="AL61" s="211">
        <f t="shared" si="27"/>
        <v>88431</v>
      </c>
      <c r="AM61" s="211">
        <f t="shared" si="28"/>
        <v>35868</v>
      </c>
      <c r="AN61" s="211">
        <f t="shared" si="29"/>
        <v>58527</v>
      </c>
      <c r="AO61" s="211">
        <f t="shared" si="30"/>
        <v>163947</v>
      </c>
      <c r="AP61" s="211">
        <f t="shared" si="31"/>
        <v>6152.9999999999991</v>
      </c>
      <c r="AQ61" s="211">
        <f t="shared" si="32"/>
        <v>26166</v>
      </c>
      <c r="AR61" s="211">
        <f t="shared" si="33"/>
        <v>17283</v>
      </c>
      <c r="AS61" s="211">
        <f t="shared" si="34"/>
        <v>73059</v>
      </c>
      <c r="AT61" s="211">
        <f t="shared" si="35"/>
        <v>62873.999999999993</v>
      </c>
      <c r="AU61" s="219">
        <f t="shared" si="36"/>
        <v>1328775</v>
      </c>
    </row>
    <row r="62" spans="2:47">
      <c r="B62" s="517"/>
      <c r="C62" s="200" t="s">
        <v>197</v>
      </c>
      <c r="D62" s="105">
        <v>1</v>
      </c>
      <c r="E62" s="273">
        <f>D62</f>
        <v>1</v>
      </c>
      <c r="F62" s="233"/>
      <c r="G62" s="211">
        <v>600</v>
      </c>
      <c r="H62" s="219">
        <f t="shared" si="4"/>
        <v>571</v>
      </c>
      <c r="I62" s="219">
        <f t="shared" si="4"/>
        <v>5</v>
      </c>
      <c r="J62" s="219">
        <f t="shared" si="5"/>
        <v>16101</v>
      </c>
      <c r="K62" s="219">
        <f t="shared" si="6"/>
        <v>1732</v>
      </c>
      <c r="L62" s="219">
        <f t="shared" si="7"/>
        <v>7051</v>
      </c>
      <c r="M62" s="219">
        <f t="shared" si="7"/>
        <v>3231</v>
      </c>
      <c r="N62" s="219">
        <f t="shared" si="7"/>
        <v>4638</v>
      </c>
      <c r="O62" s="219">
        <f t="shared" si="7"/>
        <v>1872</v>
      </c>
      <c r="P62" s="219">
        <f t="shared" si="8"/>
        <v>810</v>
      </c>
      <c r="Q62" s="219">
        <f t="shared" si="9"/>
        <v>1916</v>
      </c>
      <c r="R62" s="219">
        <f t="shared" si="9"/>
        <v>4211</v>
      </c>
      <c r="S62" s="219">
        <f t="shared" si="10"/>
        <v>1708</v>
      </c>
      <c r="T62" s="219">
        <f t="shared" si="11"/>
        <v>2787</v>
      </c>
      <c r="U62" s="219">
        <f t="shared" si="11"/>
        <v>7807</v>
      </c>
      <c r="V62" s="219">
        <f t="shared" si="12"/>
        <v>293</v>
      </c>
      <c r="W62" s="219">
        <f t="shared" si="13"/>
        <v>1246</v>
      </c>
      <c r="X62" s="219">
        <f t="shared" si="14"/>
        <v>823</v>
      </c>
      <c r="Y62" s="219">
        <f t="shared" si="15"/>
        <v>3479</v>
      </c>
      <c r="Z62" s="219">
        <f t="shared" si="15"/>
        <v>2994</v>
      </c>
      <c r="AA62" s="219">
        <f t="shared" si="16"/>
        <v>63275</v>
      </c>
      <c r="AB62" s="211">
        <f t="shared" si="17"/>
        <v>342600</v>
      </c>
      <c r="AC62" s="211">
        <f t="shared" si="18"/>
        <v>3000</v>
      </c>
      <c r="AD62" s="211">
        <f t="shared" si="19"/>
        <v>9660600</v>
      </c>
      <c r="AE62" s="211">
        <f t="shared" si="20"/>
        <v>1039200</v>
      </c>
      <c r="AF62" s="211">
        <f t="shared" si="21"/>
        <v>4230600</v>
      </c>
      <c r="AG62" s="211">
        <f t="shared" si="22"/>
        <v>1938600</v>
      </c>
      <c r="AH62" s="211">
        <f t="shared" si="23"/>
        <v>2782800</v>
      </c>
      <c r="AI62" s="211">
        <f t="shared" si="24"/>
        <v>1123200</v>
      </c>
      <c r="AJ62" s="211">
        <f t="shared" si="25"/>
        <v>486000</v>
      </c>
      <c r="AK62" s="211">
        <f t="shared" si="26"/>
        <v>1149600</v>
      </c>
      <c r="AL62" s="211">
        <f t="shared" si="27"/>
        <v>2526600</v>
      </c>
      <c r="AM62" s="211">
        <f t="shared" si="28"/>
        <v>1024800</v>
      </c>
      <c r="AN62" s="211">
        <f t="shared" si="29"/>
        <v>1672200</v>
      </c>
      <c r="AO62" s="211">
        <f t="shared" si="30"/>
        <v>4684200</v>
      </c>
      <c r="AP62" s="211">
        <f t="shared" si="31"/>
        <v>175800</v>
      </c>
      <c r="AQ62" s="211">
        <f t="shared" si="32"/>
        <v>747600</v>
      </c>
      <c r="AR62" s="211">
        <f t="shared" si="33"/>
        <v>493800</v>
      </c>
      <c r="AS62" s="211">
        <f t="shared" si="34"/>
        <v>2087400</v>
      </c>
      <c r="AT62" s="211">
        <f t="shared" si="35"/>
        <v>1796400</v>
      </c>
      <c r="AU62" s="219">
        <f t="shared" si="36"/>
        <v>37965000</v>
      </c>
    </row>
    <row r="63" spans="2:47" s="180" customFormat="1">
      <c r="B63" s="491" t="s">
        <v>23</v>
      </c>
      <c r="C63" s="272" t="s">
        <v>195</v>
      </c>
      <c r="D63" s="271"/>
      <c r="E63" s="271"/>
      <c r="F63" s="271"/>
      <c r="G63" s="270"/>
      <c r="H63" s="269"/>
      <c r="I63" s="268"/>
      <c r="J63" s="268"/>
      <c r="K63" s="268"/>
      <c r="L63" s="268"/>
      <c r="M63" s="268"/>
      <c r="N63" s="268"/>
      <c r="O63" s="268"/>
      <c r="P63" s="268"/>
      <c r="Q63" s="268"/>
      <c r="R63" s="268"/>
      <c r="S63" s="268"/>
      <c r="T63" s="268"/>
      <c r="U63" s="268"/>
      <c r="V63" s="268"/>
      <c r="W63" s="268"/>
      <c r="X63" s="268"/>
      <c r="Y63" s="268"/>
      <c r="Z63" s="268"/>
      <c r="AA63" s="267"/>
      <c r="AB63" s="265">
        <f t="shared" ref="AB63:AU63" si="37">SUM(AB35:AB62)</f>
        <v>4598449.2142367894</v>
      </c>
      <c r="AC63" s="98">
        <f t="shared" si="37"/>
        <v>40266.630597520038</v>
      </c>
      <c r="AD63" s="98">
        <f t="shared" si="37"/>
        <v>110975813.2388362</v>
      </c>
      <c r="AE63" s="98">
        <f t="shared" si="37"/>
        <v>13948360.838980945</v>
      </c>
      <c r="AF63" s="98">
        <f t="shared" si="37"/>
        <v>48598873.308927037</v>
      </c>
      <c r="AG63" s="98">
        <f t="shared" si="37"/>
        <v>22269601.426910121</v>
      </c>
      <c r="AH63" s="98">
        <f t="shared" si="37"/>
        <v>31967320.154134668</v>
      </c>
      <c r="AI63" s="98">
        <f t="shared" si="37"/>
        <v>12902721.718098339</v>
      </c>
      <c r="AJ63" s="98">
        <f t="shared" si="37"/>
        <v>6523194.1567982463</v>
      </c>
      <c r="AK63" s="98">
        <f t="shared" si="37"/>
        <v>13205990.818310056</v>
      </c>
      <c r="AL63" s="98">
        <f t="shared" si="37"/>
        <v>29024231.386170998</v>
      </c>
      <c r="AM63" s="98">
        <f t="shared" si="37"/>
        <v>13755081.012112847</v>
      </c>
      <c r="AN63" s="98">
        <f t="shared" si="37"/>
        <v>19209340.506591916</v>
      </c>
      <c r="AO63" s="98">
        <f t="shared" si="37"/>
        <v>53809587.84892828</v>
      </c>
      <c r="AP63" s="98">
        <f t="shared" si="37"/>
        <v>2359624.5530146747</v>
      </c>
      <c r="AQ63" s="98">
        <f t="shared" si="37"/>
        <v>8588029.519631695</v>
      </c>
      <c r="AR63" s="98">
        <f t="shared" si="37"/>
        <v>6627887.3963517984</v>
      </c>
      <c r="AS63" s="98">
        <f t="shared" si="37"/>
        <v>23978936.355376132</v>
      </c>
      <c r="AT63" s="98">
        <f t="shared" si="37"/>
        <v>20636083.773497026</v>
      </c>
      <c r="AU63" s="98">
        <f t="shared" si="37"/>
        <v>443019393.85750526</v>
      </c>
    </row>
    <row r="64" spans="2:47" s="180" customFormat="1" ht="30">
      <c r="B64" s="492"/>
      <c r="C64" s="272" t="s">
        <v>194</v>
      </c>
      <c r="D64" s="271"/>
      <c r="E64" s="271"/>
      <c r="F64" s="271"/>
      <c r="G64" s="270"/>
      <c r="H64" s="269"/>
      <c r="I64" s="268"/>
      <c r="J64" s="268"/>
      <c r="K64" s="268"/>
      <c r="L64" s="268"/>
      <c r="M64" s="268"/>
      <c r="N64" s="268"/>
      <c r="O64" s="268"/>
      <c r="P64" s="268"/>
      <c r="Q64" s="268"/>
      <c r="R64" s="268"/>
      <c r="S64" s="268"/>
      <c r="T64" s="268"/>
      <c r="U64" s="268"/>
      <c r="V64" s="268"/>
      <c r="W64" s="268"/>
      <c r="X64" s="268"/>
      <c r="Y64" s="268"/>
      <c r="Z64" s="268"/>
      <c r="AA64" s="267"/>
      <c r="AB64" s="265">
        <v>4067392</v>
      </c>
      <c r="AC64" s="265">
        <v>14937</v>
      </c>
      <c r="AD64" s="266">
        <v>85581711</v>
      </c>
      <c r="AE64" s="265">
        <v>15324571</v>
      </c>
      <c r="AF64" s="265">
        <v>48696069</v>
      </c>
      <c r="AG64" s="265">
        <v>24561712</v>
      </c>
      <c r="AH64" s="265">
        <v>31415140</v>
      </c>
      <c r="AI64" s="265">
        <v>13698115</v>
      </c>
      <c r="AJ64" s="265">
        <v>5721920</v>
      </c>
      <c r="AK64" s="265">
        <v>15249432</v>
      </c>
      <c r="AL64" s="265">
        <v>32653197</v>
      </c>
      <c r="AM64" s="265">
        <v>13169921</v>
      </c>
      <c r="AN64" s="265">
        <v>24409693</v>
      </c>
      <c r="AO64" s="265">
        <v>51222208</v>
      </c>
      <c r="AP64" s="265">
        <v>2196267</v>
      </c>
      <c r="AQ64" s="265">
        <v>9727605</v>
      </c>
      <c r="AR64" s="265">
        <v>6710615</v>
      </c>
      <c r="AS64" s="265">
        <v>25722336</v>
      </c>
      <c r="AT64" s="265">
        <v>16339856</v>
      </c>
      <c r="AU64" s="265">
        <f>SUM(AB64:AT64)</f>
        <v>426482697</v>
      </c>
    </row>
    <row r="65" spans="1:47" s="180" customFormat="1" ht="60">
      <c r="B65" s="492"/>
      <c r="C65" s="264" t="s">
        <v>287</v>
      </c>
      <c r="D65" s="263"/>
      <c r="E65" s="263"/>
      <c r="F65" s="263"/>
      <c r="G65" s="262"/>
      <c r="H65" s="261"/>
      <c r="I65" s="260"/>
      <c r="J65" s="260"/>
      <c r="K65" s="260"/>
      <c r="L65" s="260"/>
      <c r="M65" s="260"/>
      <c r="N65" s="260"/>
      <c r="O65" s="260"/>
      <c r="P65" s="260"/>
      <c r="Q65" s="260"/>
      <c r="R65" s="260"/>
      <c r="S65" s="260"/>
      <c r="T65" s="260"/>
      <c r="U65" s="260"/>
      <c r="V65" s="260"/>
      <c r="W65" s="260"/>
      <c r="X65" s="260"/>
      <c r="Y65" s="260"/>
      <c r="Z65" s="260"/>
      <c r="AA65" s="259"/>
      <c r="AB65" s="258">
        <f t="shared" ref="AB65:AU65" si="38">(AB63-AB64)/AB64</f>
        <v>0.13056455198731506</v>
      </c>
      <c r="AC65" s="258">
        <f t="shared" si="38"/>
        <v>1.6957642496833392</v>
      </c>
      <c r="AD65" s="258">
        <f t="shared" si="38"/>
        <v>0.29672346979410352</v>
      </c>
      <c r="AE65" s="258">
        <f t="shared" si="38"/>
        <v>-8.9804155758686832E-2</v>
      </c>
      <c r="AF65" s="258">
        <f t="shared" si="38"/>
        <v>-1.9959658565656129E-3</v>
      </c>
      <c r="AG65" s="258">
        <f t="shared" si="38"/>
        <v>-9.3320472656379938E-2</v>
      </c>
      <c r="AH65" s="258">
        <f t="shared" si="38"/>
        <v>1.7576880260112431E-2</v>
      </c>
      <c r="AI65" s="258">
        <f t="shared" si="38"/>
        <v>-5.8065893146733057E-2</v>
      </c>
      <c r="AJ65" s="258">
        <f t="shared" si="38"/>
        <v>0.14003588949133269</v>
      </c>
      <c r="AK65" s="258">
        <f t="shared" si="38"/>
        <v>-0.13400113405469424</v>
      </c>
      <c r="AL65" s="258">
        <f t="shared" si="38"/>
        <v>-0.11113660980359755</v>
      </c>
      <c r="AM65" s="258">
        <f t="shared" si="38"/>
        <v>4.4431550660998388E-2</v>
      </c>
      <c r="AN65" s="258">
        <f t="shared" si="38"/>
        <v>-0.21304456772185065</v>
      </c>
      <c r="AO65" s="258">
        <f t="shared" si="38"/>
        <v>5.0512852724511219E-2</v>
      </c>
      <c r="AP65" s="258">
        <f t="shared" si="38"/>
        <v>7.4379641917250813E-2</v>
      </c>
      <c r="AQ65" s="258">
        <f t="shared" si="38"/>
        <v>-0.11714861781171265</v>
      </c>
      <c r="AR65" s="258">
        <f t="shared" si="38"/>
        <v>-1.2327872132166956E-2</v>
      </c>
      <c r="AS65" s="258">
        <f t="shared" si="38"/>
        <v>-6.7777656143822557E-2</v>
      </c>
      <c r="AT65" s="258">
        <f t="shared" si="38"/>
        <v>0.26292935344699647</v>
      </c>
      <c r="AU65" s="258">
        <f t="shared" si="38"/>
        <v>3.8774602050280278E-2</v>
      </c>
    </row>
    <row r="66" spans="1:47" s="180" customFormat="1">
      <c r="B66" s="257"/>
      <c r="C66" s="256"/>
      <c r="D66" s="255"/>
      <c r="E66" s="255"/>
      <c r="F66" s="255"/>
      <c r="G66" s="255"/>
      <c r="H66" s="254"/>
      <c r="I66" s="254"/>
      <c r="J66" s="254"/>
      <c r="K66" s="254"/>
      <c r="L66" s="254"/>
      <c r="M66" s="254"/>
      <c r="N66" s="254"/>
      <c r="O66" s="254"/>
      <c r="P66" s="254"/>
      <c r="Q66" s="254"/>
      <c r="R66" s="254"/>
      <c r="S66" s="254"/>
      <c r="T66" s="254"/>
      <c r="U66" s="254"/>
      <c r="V66" s="254"/>
      <c r="W66" s="254"/>
      <c r="X66" s="254"/>
      <c r="Y66" s="254"/>
      <c r="Z66" s="254"/>
      <c r="AA66" s="254"/>
      <c r="AB66" s="253"/>
      <c r="AC66" s="253"/>
      <c r="AD66" s="253"/>
      <c r="AE66" s="253"/>
      <c r="AF66" s="253"/>
      <c r="AG66" s="253"/>
      <c r="AH66" s="253"/>
      <c r="AI66" s="253"/>
      <c r="AJ66" s="253"/>
      <c r="AK66" s="253"/>
      <c r="AL66" s="253"/>
      <c r="AM66" s="253"/>
      <c r="AN66" s="253"/>
      <c r="AO66" s="253"/>
      <c r="AP66" s="253"/>
      <c r="AQ66" s="253"/>
      <c r="AR66" s="253"/>
      <c r="AS66" s="253"/>
      <c r="AT66" s="253"/>
      <c r="AU66" s="253"/>
    </row>
    <row r="67" spans="1:47" ht="27" thickBot="1">
      <c r="A67" s="162" t="s">
        <v>286</v>
      </c>
      <c r="D67" s="42"/>
    </row>
    <row r="68" spans="1:47" ht="56.25" customHeight="1" thickBot="1">
      <c r="A68" s="473" t="s">
        <v>285</v>
      </c>
      <c r="B68" s="474"/>
      <c r="C68" s="474"/>
      <c r="D68" s="474"/>
      <c r="E68" s="474"/>
      <c r="F68" s="474"/>
      <c r="G68" s="474"/>
      <c r="H68" s="475"/>
    </row>
    <row r="69" spans="1:47" ht="15" customHeight="1">
      <c r="A69" s="166" t="s">
        <v>240</v>
      </c>
      <c r="B69" s="166" t="s">
        <v>284</v>
      </c>
      <c r="D69" s="42"/>
    </row>
    <row r="70" spans="1:47">
      <c r="A70" s="166" t="s">
        <v>238</v>
      </c>
      <c r="B70" s="252" t="s">
        <v>283</v>
      </c>
    </row>
    <row r="71" spans="1:47">
      <c r="B71" s="251"/>
      <c r="C71" s="456" t="s">
        <v>282</v>
      </c>
      <c r="D71" s="456"/>
      <c r="E71" s="456"/>
      <c r="F71" s="456"/>
    </row>
    <row r="72" spans="1:47">
      <c r="B72" s="213" t="s">
        <v>234</v>
      </c>
      <c r="C72" s="213" t="s">
        <v>107</v>
      </c>
      <c r="D72" s="213" t="s">
        <v>1</v>
      </c>
      <c r="E72" s="213" t="s">
        <v>178</v>
      </c>
      <c r="F72" s="213" t="s">
        <v>131</v>
      </c>
    </row>
    <row r="73" spans="1:47">
      <c r="B73" s="242" t="s">
        <v>19</v>
      </c>
      <c r="C73" s="250">
        <v>0.9</v>
      </c>
      <c r="D73" s="247">
        <v>0.67067260134865048</v>
      </c>
      <c r="E73" s="247">
        <v>0.99999000000000005</v>
      </c>
      <c r="F73" s="247">
        <v>0.71</v>
      </c>
    </row>
    <row r="74" spans="1:47">
      <c r="B74" s="242" t="s">
        <v>17</v>
      </c>
      <c r="C74" s="250">
        <v>0.1</v>
      </c>
      <c r="D74" s="247">
        <v>0.12539202668342844</v>
      </c>
      <c r="E74" s="247">
        <v>1.0000000000000001E-5</v>
      </c>
      <c r="F74" s="247">
        <v>0.17</v>
      </c>
    </row>
    <row r="75" spans="1:47">
      <c r="B75" s="242" t="s">
        <v>189</v>
      </c>
      <c r="C75" s="247">
        <v>0</v>
      </c>
      <c r="D75" s="247">
        <v>8.4159317734452732E-2</v>
      </c>
      <c r="E75" s="247">
        <v>0</v>
      </c>
      <c r="F75" s="247">
        <v>0.12</v>
      </c>
    </row>
    <row r="76" spans="1:47">
      <c r="B76" s="242" t="s">
        <v>188</v>
      </c>
      <c r="C76" s="247">
        <v>0</v>
      </c>
      <c r="D76" s="247">
        <v>7.6234453122892912E-2</v>
      </c>
      <c r="E76" s="247">
        <v>0</v>
      </c>
      <c r="F76" s="247">
        <v>0</v>
      </c>
    </row>
    <row r="77" spans="1:47">
      <c r="B77" s="242" t="s">
        <v>2</v>
      </c>
      <c r="C77" s="247">
        <v>0</v>
      </c>
      <c r="D77" s="247">
        <v>3.9876483171974751E-2</v>
      </c>
      <c r="E77" s="247">
        <v>0</v>
      </c>
      <c r="F77" s="247">
        <v>0</v>
      </c>
    </row>
    <row r="78" spans="1:47">
      <c r="B78" s="245"/>
      <c r="C78" s="244"/>
      <c r="F78" s="249"/>
    </row>
    <row r="79" spans="1:47">
      <c r="A79" s="166" t="s">
        <v>240</v>
      </c>
      <c r="B79" s="166" t="s">
        <v>281</v>
      </c>
    </row>
    <row r="80" spans="1:47">
      <c r="A80" s="166" t="s">
        <v>238</v>
      </c>
      <c r="B80" s="248" t="s">
        <v>280</v>
      </c>
    </row>
    <row r="81" spans="1:9" ht="26.25" customHeight="1">
      <c r="B81" s="167"/>
      <c r="C81" s="495" t="s">
        <v>279</v>
      </c>
      <c r="D81" s="495"/>
      <c r="E81" s="495" t="s">
        <v>278</v>
      </c>
      <c r="F81" s="495"/>
      <c r="G81" s="496"/>
      <c r="H81" s="497"/>
    </row>
    <row r="82" spans="1:9" ht="75">
      <c r="B82" s="225" t="s">
        <v>249</v>
      </c>
      <c r="C82" s="235" t="s">
        <v>277</v>
      </c>
      <c r="D82" s="235" t="s">
        <v>276</v>
      </c>
      <c r="E82" s="235" t="s">
        <v>277</v>
      </c>
      <c r="F82" s="235" t="s">
        <v>276</v>
      </c>
      <c r="G82" s="504" t="s">
        <v>275</v>
      </c>
      <c r="H82" s="505"/>
    </row>
    <row r="83" spans="1:9" ht="33.75" customHeight="1">
      <c r="B83" s="242" t="s">
        <v>107</v>
      </c>
      <c r="C83" s="247">
        <f>E83+(E83/2)</f>
        <v>0.88500000000000001</v>
      </c>
      <c r="D83" s="247">
        <f>F83+(F83/2)</f>
        <v>1.0062</v>
      </c>
      <c r="E83" s="247">
        <v>0.59</v>
      </c>
      <c r="F83" s="246">
        <v>0.67079999999999995</v>
      </c>
      <c r="G83" s="506" t="s">
        <v>273</v>
      </c>
      <c r="H83" s="507"/>
    </row>
    <row r="84" spans="1:9" ht="80.25" customHeight="1">
      <c r="B84" s="242" t="s">
        <v>1</v>
      </c>
      <c r="C84" s="247"/>
      <c r="D84" s="247"/>
      <c r="E84" s="247">
        <v>0.5</v>
      </c>
      <c r="F84" s="246">
        <v>0</v>
      </c>
      <c r="G84" s="506" t="s">
        <v>274</v>
      </c>
      <c r="H84" s="507"/>
    </row>
    <row r="85" spans="1:9" ht="15" customHeight="1">
      <c r="B85" s="242" t="s">
        <v>178</v>
      </c>
      <c r="C85" s="247">
        <f t="shared" ref="C85:D88" si="39">E85+(E85/2)</f>
        <v>0.19500000000000001</v>
      </c>
      <c r="D85" s="247">
        <f t="shared" si="39"/>
        <v>0.21840000000000001</v>
      </c>
      <c r="E85" s="247">
        <v>0.13</v>
      </c>
      <c r="F85" s="246">
        <v>0.14560000000000001</v>
      </c>
      <c r="G85" s="508" t="s">
        <v>273</v>
      </c>
      <c r="H85" s="509"/>
    </row>
    <row r="86" spans="1:9" ht="15" customHeight="1">
      <c r="B86" s="242" t="s">
        <v>131</v>
      </c>
      <c r="C86" s="247">
        <f t="shared" si="39"/>
        <v>0.22499999999999998</v>
      </c>
      <c r="D86" s="247">
        <f t="shared" si="39"/>
        <v>0.252</v>
      </c>
      <c r="E86" s="247">
        <v>0.15</v>
      </c>
      <c r="F86" s="246">
        <v>0.16799999999999998</v>
      </c>
      <c r="G86" s="510"/>
      <c r="H86" s="511"/>
    </row>
    <row r="87" spans="1:9" ht="15" customHeight="1">
      <c r="B87" s="242" t="s">
        <v>113</v>
      </c>
      <c r="C87" s="247">
        <f t="shared" si="39"/>
        <v>1.4999999999999999E-2</v>
      </c>
      <c r="D87" s="247">
        <f t="shared" si="39"/>
        <v>1.6799999999999999E-2</v>
      </c>
      <c r="E87" s="247">
        <v>0.01</v>
      </c>
      <c r="F87" s="246">
        <v>1.12E-2</v>
      </c>
      <c r="G87" s="510"/>
      <c r="H87" s="511"/>
    </row>
    <row r="88" spans="1:9" ht="15" customHeight="1">
      <c r="B88" s="242" t="s">
        <v>2</v>
      </c>
      <c r="C88" s="247">
        <f t="shared" si="39"/>
        <v>0</v>
      </c>
      <c r="D88" s="247">
        <f t="shared" si="39"/>
        <v>0</v>
      </c>
      <c r="E88" s="247">
        <v>0</v>
      </c>
      <c r="F88" s="246">
        <v>0</v>
      </c>
      <c r="G88" s="512"/>
      <c r="H88" s="513"/>
    </row>
    <row r="89" spans="1:9">
      <c r="B89" s="245"/>
      <c r="C89" s="244">
        <f>SUM(C83:C88)</f>
        <v>1.32</v>
      </c>
      <c r="D89" s="244">
        <f>SUM(D83:D88)</f>
        <v>1.4933999999999998</v>
      </c>
      <c r="E89" s="244">
        <f>SUM(E83:E88)</f>
        <v>1.3799999999999997</v>
      </c>
      <c r="F89" s="244">
        <f>SUM(F83:F88)</f>
        <v>0.99559999999999993</v>
      </c>
      <c r="G89" s="243"/>
    </row>
    <row r="91" spans="1:9">
      <c r="A91" s="166" t="s">
        <v>240</v>
      </c>
      <c r="B91" s="166" t="s">
        <v>272</v>
      </c>
    </row>
    <row r="92" spans="1:9">
      <c r="A92" s="166" t="s">
        <v>238</v>
      </c>
      <c r="B92" s="166" t="s">
        <v>271</v>
      </c>
    </row>
    <row r="93" spans="1:9" ht="90">
      <c r="B93" s="235" t="s">
        <v>249</v>
      </c>
      <c r="C93" s="235" t="s">
        <v>270</v>
      </c>
      <c r="D93" s="235" t="s">
        <v>269</v>
      </c>
      <c r="E93" s="235" t="s">
        <v>268</v>
      </c>
      <c r="F93" s="443" t="s">
        <v>267</v>
      </c>
      <c r="G93" s="444"/>
      <c r="H93" s="444"/>
      <c r="I93" s="445"/>
    </row>
    <row r="94" spans="1:9" ht="15" customHeight="1">
      <c r="B94" s="242" t="s">
        <v>266</v>
      </c>
      <c r="C94" s="242">
        <v>12.1</v>
      </c>
      <c r="D94" s="238">
        <f>C94*(W127/C104)</f>
        <v>1.2418412656419817</v>
      </c>
      <c r="E94" s="105">
        <f t="shared" ref="E94:E99" si="40">D94/C94</f>
        <v>0.10263150955718857</v>
      </c>
      <c r="F94" s="446" t="s">
        <v>265</v>
      </c>
      <c r="G94" s="446"/>
      <c r="H94" s="446"/>
      <c r="I94" s="446"/>
    </row>
    <row r="95" spans="1:9">
      <c r="B95" s="242" t="s">
        <v>264</v>
      </c>
      <c r="C95" s="242">
        <v>3.2</v>
      </c>
      <c r="D95" s="238">
        <f>C95*0.78</f>
        <v>2.4960000000000004</v>
      </c>
      <c r="E95" s="105">
        <f t="shared" si="40"/>
        <v>0.78000000000000014</v>
      </c>
      <c r="F95" s="446"/>
      <c r="G95" s="446"/>
      <c r="H95" s="446"/>
      <c r="I95" s="446"/>
    </row>
    <row r="96" spans="1:9">
      <c r="B96" s="242" t="s">
        <v>263</v>
      </c>
      <c r="C96" s="242">
        <v>3.9</v>
      </c>
      <c r="D96" s="238">
        <f>C96*(W141/C104)</f>
        <v>8.7889264774379167E-2</v>
      </c>
      <c r="E96" s="105">
        <f t="shared" si="40"/>
        <v>2.2535708916507479E-2</v>
      </c>
      <c r="F96" s="446"/>
      <c r="G96" s="446"/>
      <c r="H96" s="446"/>
      <c r="I96" s="446"/>
    </row>
    <row r="97" spans="1:23">
      <c r="B97" s="242" t="s">
        <v>262</v>
      </c>
      <c r="C97" s="242">
        <v>5.6</v>
      </c>
      <c r="D97" s="238">
        <f>C97*(W134/C104)</f>
        <v>0.1456153499220483</v>
      </c>
      <c r="E97" s="105">
        <f t="shared" si="40"/>
        <v>2.6002741057508626E-2</v>
      </c>
      <c r="F97" s="446"/>
      <c r="G97" s="446"/>
      <c r="H97" s="446"/>
      <c r="I97" s="446"/>
    </row>
    <row r="98" spans="1:23" ht="15.75" thickBot="1">
      <c r="B98" s="241" t="s">
        <v>261</v>
      </c>
      <c r="C98" s="241">
        <v>0.9</v>
      </c>
      <c r="D98" s="238">
        <f>C98*$D$105</f>
        <v>0.22732028792067882</v>
      </c>
      <c r="E98" s="105">
        <f t="shared" si="40"/>
        <v>0.25257809768964312</v>
      </c>
      <c r="F98" s="446"/>
      <c r="G98" s="446"/>
      <c r="H98" s="446"/>
      <c r="I98" s="446"/>
    </row>
    <row r="99" spans="1:23" ht="15.75" thickTop="1">
      <c r="B99" s="240" t="s">
        <v>260</v>
      </c>
      <c r="C99" s="239">
        <f>SUM(C94:C98)</f>
        <v>25.699999999999996</v>
      </c>
      <c r="D99" s="238">
        <f>SUM(D94:D98)</f>
        <v>4.1986661682590887</v>
      </c>
      <c r="E99" s="105">
        <f t="shared" si="40"/>
        <v>0.16337222444587896</v>
      </c>
      <c r="F99" s="446"/>
      <c r="G99" s="446"/>
      <c r="H99" s="446"/>
      <c r="I99" s="446"/>
    </row>
    <row r="100" spans="1:23">
      <c r="B100" s="236"/>
      <c r="C100" s="237"/>
      <c r="D100" s="230"/>
    </row>
    <row r="101" spans="1:23">
      <c r="A101" s="166" t="s">
        <v>240</v>
      </c>
      <c r="B101" s="236" t="s">
        <v>259</v>
      </c>
      <c r="C101" s="237"/>
      <c r="D101" s="230"/>
    </row>
    <row r="102" spans="1:23">
      <c r="A102" s="166" t="s">
        <v>238</v>
      </c>
      <c r="B102" s="236" t="s">
        <v>258</v>
      </c>
    </row>
    <row r="103" spans="1:23" ht="39" customHeight="1">
      <c r="B103" s="235"/>
      <c r="C103" s="234" t="s">
        <v>257</v>
      </c>
      <c r="D103" s="234" t="s">
        <v>256</v>
      </c>
      <c r="E103" s="515"/>
      <c r="F103" s="516"/>
      <c r="G103" s="516"/>
    </row>
    <row r="104" spans="1:23">
      <c r="B104" s="233" t="s">
        <v>184</v>
      </c>
      <c r="C104" s="211">
        <f>251736</f>
        <v>251736</v>
      </c>
      <c r="D104" s="211">
        <v>63583</v>
      </c>
      <c r="E104" s="515"/>
      <c r="F104" s="516"/>
      <c r="G104" s="516"/>
    </row>
    <row r="105" spans="1:23" ht="45">
      <c r="B105" s="233" t="s">
        <v>255</v>
      </c>
      <c r="C105" s="232"/>
      <c r="D105" s="231">
        <f>D104/C104</f>
        <v>0.25257809768964312</v>
      </c>
      <c r="E105" s="515"/>
      <c r="F105" s="516"/>
      <c r="G105" s="516"/>
    </row>
    <row r="106" spans="1:23">
      <c r="B106" s="230"/>
      <c r="C106" s="229"/>
      <c r="D106" s="228"/>
      <c r="J106" s="204"/>
    </row>
    <row r="107" spans="1:23" ht="30">
      <c r="A107" s="166" t="s">
        <v>240</v>
      </c>
      <c r="B107" s="166" t="s">
        <v>254</v>
      </c>
      <c r="H107" s="227" t="s">
        <v>253</v>
      </c>
      <c r="I107" s="520">
        <v>4388962</v>
      </c>
      <c r="J107" s="520"/>
      <c r="K107" s="498" t="s">
        <v>252</v>
      </c>
      <c r="L107" s="498"/>
      <c r="M107" s="498"/>
      <c r="N107" s="498"/>
      <c r="O107" s="498"/>
      <c r="P107" s="498"/>
      <c r="Q107" s="184"/>
      <c r="R107" s="184"/>
    </row>
    <row r="108" spans="1:23" ht="30">
      <c r="A108" s="216" t="s">
        <v>238</v>
      </c>
      <c r="B108" s="514" t="s">
        <v>251</v>
      </c>
      <c r="C108" s="514"/>
      <c r="D108" s="514"/>
      <c r="E108" s="514"/>
      <c r="F108" s="514"/>
      <c r="H108" s="227" t="s">
        <v>250</v>
      </c>
      <c r="I108" s="518">
        <f>I111+J111</f>
        <v>5140.4798984311492</v>
      </c>
      <c r="J108" s="519"/>
      <c r="K108" s="499"/>
      <c r="L108" s="499"/>
      <c r="M108" s="499"/>
      <c r="N108" s="499"/>
      <c r="O108" s="499"/>
      <c r="P108" s="499"/>
      <c r="Q108" s="184"/>
      <c r="R108" s="184"/>
    </row>
    <row r="109" spans="1:23" s="180" customFormat="1">
      <c r="B109" s="225" t="s">
        <v>249</v>
      </c>
      <c r="C109" s="226" t="s">
        <v>248</v>
      </c>
      <c r="D109" s="225" t="s">
        <v>26</v>
      </c>
      <c r="E109" s="225" t="s">
        <v>27</v>
      </c>
      <c r="F109" s="225" t="s">
        <v>28</v>
      </c>
      <c r="G109" s="225" t="s">
        <v>29</v>
      </c>
      <c r="H109" s="225" t="s">
        <v>30</v>
      </c>
      <c r="I109" s="225" t="s">
        <v>31</v>
      </c>
      <c r="J109" s="225" t="s">
        <v>32</v>
      </c>
      <c r="K109" s="225" t="s">
        <v>33</v>
      </c>
      <c r="L109" s="225" t="s">
        <v>34</v>
      </c>
      <c r="M109" s="225" t="s">
        <v>35</v>
      </c>
      <c r="N109" s="225" t="s">
        <v>36</v>
      </c>
      <c r="O109" s="225" t="s">
        <v>37</v>
      </c>
      <c r="P109" s="225" t="s">
        <v>38</v>
      </c>
      <c r="Q109" s="225" t="s">
        <v>39</v>
      </c>
      <c r="R109" s="225" t="s">
        <v>40</v>
      </c>
      <c r="S109" s="225" t="s">
        <v>41</v>
      </c>
      <c r="T109" s="225" t="s">
        <v>42</v>
      </c>
      <c r="U109" s="225" t="s">
        <v>43</v>
      </c>
      <c r="V109" s="225" t="s">
        <v>44</v>
      </c>
      <c r="W109" s="225" t="s">
        <v>23</v>
      </c>
    </row>
    <row r="110" spans="1:23" ht="30">
      <c r="B110" s="224" t="s">
        <v>247</v>
      </c>
      <c r="C110" s="223" t="s">
        <v>246</v>
      </c>
      <c r="D110" s="211">
        <v>571</v>
      </c>
      <c r="E110" s="211">
        <v>5</v>
      </c>
      <c r="F110" s="211">
        <v>16101</v>
      </c>
      <c r="G110" s="211">
        <v>1732</v>
      </c>
      <c r="H110" s="211">
        <v>7051</v>
      </c>
      <c r="I110" s="211">
        <v>3231</v>
      </c>
      <c r="J110" s="211">
        <v>4638</v>
      </c>
      <c r="K110" s="211">
        <v>1872</v>
      </c>
      <c r="L110" s="211">
        <v>810</v>
      </c>
      <c r="M110" s="211">
        <v>1916</v>
      </c>
      <c r="N110" s="211">
        <v>4211</v>
      </c>
      <c r="O110" s="211">
        <v>1708</v>
      </c>
      <c r="P110" s="211">
        <v>2787</v>
      </c>
      <c r="Q110" s="211">
        <v>7807</v>
      </c>
      <c r="R110" s="211">
        <v>293</v>
      </c>
      <c r="S110" s="211">
        <v>1246</v>
      </c>
      <c r="T110" s="211">
        <v>823</v>
      </c>
      <c r="U110" s="211">
        <v>3479</v>
      </c>
      <c r="V110" s="211">
        <v>2994</v>
      </c>
      <c r="W110" s="211">
        <v>63275</v>
      </c>
    </row>
    <row r="111" spans="1:23" ht="30">
      <c r="B111" s="224" t="s">
        <v>191</v>
      </c>
      <c r="C111" s="223" t="s">
        <v>245</v>
      </c>
      <c r="D111" s="211">
        <v>0</v>
      </c>
      <c r="E111" s="211">
        <v>0</v>
      </c>
      <c r="F111" s="211">
        <v>12725</v>
      </c>
      <c r="G111" s="211">
        <v>0</v>
      </c>
      <c r="H111" s="211">
        <v>3669</v>
      </c>
      <c r="I111" s="211">
        <v>2248.0270682424702</v>
      </c>
      <c r="J111" s="211">
        <v>2892.4528301886794</v>
      </c>
      <c r="K111" s="211">
        <v>234</v>
      </c>
      <c r="L111" s="211">
        <v>0</v>
      </c>
      <c r="M111" s="211">
        <v>544</v>
      </c>
      <c r="N111" s="211">
        <v>1600</v>
      </c>
      <c r="O111" s="211">
        <v>0</v>
      </c>
      <c r="P111" s="211">
        <v>1399</v>
      </c>
      <c r="Q111" s="211">
        <v>5367</v>
      </c>
      <c r="R111" s="211">
        <v>0</v>
      </c>
      <c r="S111" s="211">
        <v>77</v>
      </c>
      <c r="T111" s="211">
        <v>0</v>
      </c>
      <c r="U111" s="211">
        <v>1926</v>
      </c>
      <c r="V111" s="211">
        <v>2214</v>
      </c>
      <c r="W111" s="211">
        <v>35230</v>
      </c>
    </row>
    <row r="112" spans="1:23">
      <c r="B112" s="224" t="s">
        <v>244</v>
      </c>
      <c r="C112" s="223" t="s">
        <v>243</v>
      </c>
      <c r="D112" s="211">
        <v>571</v>
      </c>
      <c r="E112" s="211">
        <v>5</v>
      </c>
      <c r="F112" s="211">
        <v>3376</v>
      </c>
      <c r="G112" s="211">
        <v>1732</v>
      </c>
      <c r="H112" s="211">
        <v>3382</v>
      </c>
      <c r="I112" s="211">
        <v>982.97293175752975</v>
      </c>
      <c r="J112" s="211">
        <v>1745.5471698113206</v>
      </c>
      <c r="K112" s="211">
        <v>1638</v>
      </c>
      <c r="L112" s="211">
        <v>810</v>
      </c>
      <c r="M112" s="211">
        <v>1372</v>
      </c>
      <c r="N112" s="211">
        <v>2611</v>
      </c>
      <c r="O112" s="211">
        <v>1708</v>
      </c>
      <c r="P112" s="211">
        <v>1388</v>
      </c>
      <c r="Q112" s="211">
        <v>2440</v>
      </c>
      <c r="R112" s="211">
        <v>293</v>
      </c>
      <c r="S112" s="211">
        <v>1169</v>
      </c>
      <c r="T112" s="211">
        <v>823</v>
      </c>
      <c r="U112" s="211">
        <v>1553</v>
      </c>
      <c r="V112" s="211">
        <v>780</v>
      </c>
      <c r="W112" s="211">
        <v>28045</v>
      </c>
    </row>
    <row r="113" spans="1:23" ht="30">
      <c r="B113" s="503" t="s">
        <v>191</v>
      </c>
      <c r="C113" s="221" t="s">
        <v>242</v>
      </c>
      <c r="D113" s="200"/>
      <c r="E113" s="211"/>
      <c r="F113" s="211">
        <v>9230920</v>
      </c>
      <c r="G113" s="211"/>
      <c r="H113" s="211">
        <v>2569640</v>
      </c>
      <c r="I113" s="222">
        <f>I107*I111/I108</f>
        <v>1919374.3721279446</v>
      </c>
      <c r="J113" s="222">
        <f>I107*J111/I108</f>
        <v>2469587.6278720554</v>
      </c>
      <c r="K113" s="211">
        <v>123808</v>
      </c>
      <c r="L113" s="211"/>
      <c r="M113" s="211">
        <v>464312</v>
      </c>
      <c r="N113" s="211">
        <v>1120983</v>
      </c>
      <c r="O113" s="211"/>
      <c r="P113" s="211">
        <v>1281264</v>
      </c>
      <c r="Q113" s="211">
        <v>4519341</v>
      </c>
      <c r="R113" s="211"/>
      <c r="S113" s="211">
        <v>71671</v>
      </c>
      <c r="T113" s="211"/>
      <c r="U113" s="211">
        <v>1507402</v>
      </c>
      <c r="V113" s="211">
        <v>1609423</v>
      </c>
      <c r="W113" s="211">
        <f>SUM(D113:V113)</f>
        <v>26887726</v>
      </c>
    </row>
    <row r="114" spans="1:23" ht="30">
      <c r="B114" s="503"/>
      <c r="C114" s="221" t="s">
        <v>241</v>
      </c>
      <c r="D114" s="200"/>
      <c r="E114" s="219"/>
      <c r="F114" s="219">
        <f>F113/10</f>
        <v>923092</v>
      </c>
      <c r="G114" s="219"/>
      <c r="H114" s="219">
        <f t="shared" ref="H114:W114" si="41">H113/10</f>
        <v>256964</v>
      </c>
      <c r="I114" s="220">
        <f t="shared" si="41"/>
        <v>191937.43721279447</v>
      </c>
      <c r="J114" s="220">
        <f t="shared" si="41"/>
        <v>246958.76278720555</v>
      </c>
      <c r="K114" s="219">
        <f t="shared" si="41"/>
        <v>12380.8</v>
      </c>
      <c r="L114" s="219">
        <f t="shared" si="41"/>
        <v>0</v>
      </c>
      <c r="M114" s="219">
        <f t="shared" si="41"/>
        <v>46431.199999999997</v>
      </c>
      <c r="N114" s="219">
        <f t="shared" si="41"/>
        <v>112098.3</v>
      </c>
      <c r="O114" s="219">
        <f t="shared" si="41"/>
        <v>0</v>
      </c>
      <c r="P114" s="219">
        <f t="shared" si="41"/>
        <v>128126.39999999999</v>
      </c>
      <c r="Q114" s="219">
        <f t="shared" si="41"/>
        <v>451934.1</v>
      </c>
      <c r="R114" s="219">
        <f t="shared" si="41"/>
        <v>0</v>
      </c>
      <c r="S114" s="219">
        <f t="shared" si="41"/>
        <v>7167.1</v>
      </c>
      <c r="T114" s="219">
        <f t="shared" si="41"/>
        <v>0</v>
      </c>
      <c r="U114" s="219">
        <f t="shared" si="41"/>
        <v>150740.20000000001</v>
      </c>
      <c r="V114" s="219">
        <f t="shared" si="41"/>
        <v>160942.29999999999</v>
      </c>
      <c r="W114" s="219">
        <f t="shared" si="41"/>
        <v>2688772.6</v>
      </c>
    </row>
    <row r="115" spans="1:23">
      <c r="F115" s="218"/>
    </row>
    <row r="116" spans="1:23">
      <c r="A116" s="166" t="s">
        <v>240</v>
      </c>
      <c r="B116" s="217" t="s">
        <v>239</v>
      </c>
    </row>
    <row r="117" spans="1:23">
      <c r="A117" s="216" t="s">
        <v>238</v>
      </c>
      <c r="B117" s="166" t="s">
        <v>237</v>
      </c>
    </row>
    <row r="118" spans="1:23" ht="45">
      <c r="B118" s="215"/>
      <c r="C118" s="215"/>
      <c r="D118" s="215">
        <v>0</v>
      </c>
      <c r="E118" s="215">
        <v>0</v>
      </c>
      <c r="F118" s="215" t="s">
        <v>236</v>
      </c>
      <c r="G118" s="215">
        <v>0</v>
      </c>
      <c r="H118" s="215" t="s">
        <v>236</v>
      </c>
      <c r="I118" s="215" t="s">
        <v>236</v>
      </c>
      <c r="J118" s="215" t="s">
        <v>236</v>
      </c>
      <c r="K118" s="215" t="s">
        <v>236</v>
      </c>
      <c r="L118" s="215">
        <v>0</v>
      </c>
      <c r="M118" s="215" t="s">
        <v>236</v>
      </c>
      <c r="N118" s="215" t="s">
        <v>236</v>
      </c>
      <c r="O118" s="215">
        <v>0</v>
      </c>
      <c r="P118" s="215" t="s">
        <v>236</v>
      </c>
      <c r="Q118" s="215" t="s">
        <v>236</v>
      </c>
      <c r="R118" s="215">
        <v>0</v>
      </c>
      <c r="S118" s="215" t="s">
        <v>236</v>
      </c>
      <c r="T118" s="215">
        <v>0</v>
      </c>
      <c r="U118" s="215" t="s">
        <v>236</v>
      </c>
      <c r="V118" s="215" t="s">
        <v>236</v>
      </c>
      <c r="W118" s="215"/>
    </row>
    <row r="119" spans="1:23" ht="45">
      <c r="B119" s="214" t="s">
        <v>235</v>
      </c>
      <c r="C119" s="213" t="s">
        <v>234</v>
      </c>
      <c r="D119" s="213" t="s">
        <v>26</v>
      </c>
      <c r="E119" s="213" t="s">
        <v>27</v>
      </c>
      <c r="F119" s="213" t="s">
        <v>28</v>
      </c>
      <c r="G119" s="213" t="s">
        <v>29</v>
      </c>
      <c r="H119" s="213" t="s">
        <v>30</v>
      </c>
      <c r="I119" s="213" t="s">
        <v>31</v>
      </c>
      <c r="J119" s="213" t="s">
        <v>32</v>
      </c>
      <c r="K119" s="213" t="s">
        <v>33</v>
      </c>
      <c r="L119" s="213" t="s">
        <v>34</v>
      </c>
      <c r="M119" s="213" t="s">
        <v>35</v>
      </c>
      <c r="N119" s="213" t="s">
        <v>36</v>
      </c>
      <c r="O119" s="213" t="s">
        <v>37</v>
      </c>
      <c r="P119" s="213" t="s">
        <v>38</v>
      </c>
      <c r="Q119" s="213" t="s">
        <v>39</v>
      </c>
      <c r="R119" s="213" t="s">
        <v>40</v>
      </c>
      <c r="S119" s="213" t="s">
        <v>41</v>
      </c>
      <c r="T119" s="213" t="s">
        <v>42</v>
      </c>
      <c r="U119" s="213" t="s">
        <v>43</v>
      </c>
      <c r="V119" s="213" t="s">
        <v>44</v>
      </c>
      <c r="W119" s="213" t="s">
        <v>23</v>
      </c>
    </row>
    <row r="120" spans="1:23" s="27" customFormat="1">
      <c r="B120" s="486" t="s">
        <v>191</v>
      </c>
      <c r="C120" s="211" t="s">
        <v>184</v>
      </c>
      <c r="D120" s="211">
        <f t="shared" ref="D120:W120" si="42">D111</f>
        <v>0</v>
      </c>
      <c r="E120" s="211">
        <f t="shared" si="42"/>
        <v>0</v>
      </c>
      <c r="F120" s="211">
        <f t="shared" si="42"/>
        <v>12725</v>
      </c>
      <c r="G120" s="211">
        <f t="shared" si="42"/>
        <v>0</v>
      </c>
      <c r="H120" s="211">
        <f t="shared" si="42"/>
        <v>3669</v>
      </c>
      <c r="I120" s="211">
        <f t="shared" si="42"/>
        <v>2248.0270682424702</v>
      </c>
      <c r="J120" s="211">
        <f t="shared" si="42"/>
        <v>2892.4528301886794</v>
      </c>
      <c r="K120" s="211">
        <f t="shared" si="42"/>
        <v>234</v>
      </c>
      <c r="L120" s="211">
        <f t="shared" si="42"/>
        <v>0</v>
      </c>
      <c r="M120" s="211">
        <f t="shared" si="42"/>
        <v>544</v>
      </c>
      <c r="N120" s="211">
        <f t="shared" si="42"/>
        <v>1600</v>
      </c>
      <c r="O120" s="211">
        <f t="shared" si="42"/>
        <v>0</v>
      </c>
      <c r="P120" s="211">
        <f t="shared" si="42"/>
        <v>1399</v>
      </c>
      <c r="Q120" s="211">
        <f t="shared" si="42"/>
        <v>5367</v>
      </c>
      <c r="R120" s="211">
        <f t="shared" si="42"/>
        <v>0</v>
      </c>
      <c r="S120" s="211">
        <f t="shared" si="42"/>
        <v>77</v>
      </c>
      <c r="T120" s="211">
        <f t="shared" si="42"/>
        <v>0</v>
      </c>
      <c r="U120" s="211">
        <f t="shared" si="42"/>
        <v>1926</v>
      </c>
      <c r="V120" s="211">
        <f t="shared" si="42"/>
        <v>2214</v>
      </c>
      <c r="W120" s="211">
        <f t="shared" si="42"/>
        <v>35230</v>
      </c>
    </row>
    <row r="121" spans="1:23" s="27" customFormat="1">
      <c r="B121" s="487"/>
      <c r="C121" s="212" t="s">
        <v>19</v>
      </c>
      <c r="D121" s="211">
        <f t="shared" ref="D121:W121" si="43">D$126*$D73</f>
        <v>0</v>
      </c>
      <c r="E121" s="211">
        <f t="shared" si="43"/>
        <v>0</v>
      </c>
      <c r="F121" s="211">
        <f t="shared" si="43"/>
        <v>619092.51292412844</v>
      </c>
      <c r="G121" s="211">
        <f t="shared" si="43"/>
        <v>0</v>
      </c>
      <c r="H121" s="211">
        <f t="shared" si="43"/>
        <v>172338.71433295461</v>
      </c>
      <c r="I121" s="211">
        <f t="shared" si="43"/>
        <v>128727.18031169813</v>
      </c>
      <c r="J121" s="211">
        <f t="shared" si="43"/>
        <v>165628.47586433945</v>
      </c>
      <c r="K121" s="211">
        <f t="shared" si="43"/>
        <v>8303.4633427773715</v>
      </c>
      <c r="L121" s="211">
        <f t="shared" si="43"/>
        <v>0</v>
      </c>
      <c r="M121" s="211">
        <f t="shared" si="43"/>
        <v>31140.133687739457</v>
      </c>
      <c r="N121" s="211">
        <f t="shared" si="43"/>
        <v>75181.258467761421</v>
      </c>
      <c r="O121" s="211">
        <f t="shared" si="43"/>
        <v>0</v>
      </c>
      <c r="P121" s="211">
        <f t="shared" si="43"/>
        <v>85930.86598943772</v>
      </c>
      <c r="Q121" s="211">
        <f t="shared" si="43"/>
        <v>303099.81848516111</v>
      </c>
      <c r="R121" s="211">
        <f t="shared" si="43"/>
        <v>0</v>
      </c>
      <c r="S121" s="211">
        <f t="shared" si="43"/>
        <v>4806.777601125913</v>
      </c>
      <c r="T121" s="211">
        <f t="shared" si="43"/>
        <v>0</v>
      </c>
      <c r="U121" s="211">
        <f t="shared" si="43"/>
        <v>101097.32206181585</v>
      </c>
      <c r="V121" s="211">
        <f t="shared" si="43"/>
        <v>107939.5910080349</v>
      </c>
      <c r="W121" s="211">
        <f t="shared" si="43"/>
        <v>1803286.1140769746</v>
      </c>
    </row>
    <row r="122" spans="1:23" s="27" customFormat="1">
      <c r="B122" s="487"/>
      <c r="C122" s="212" t="s">
        <v>17</v>
      </c>
      <c r="D122" s="211">
        <f t="shared" ref="D122:W122" si="44">D$126*$D74</f>
        <v>0</v>
      </c>
      <c r="E122" s="211">
        <f t="shared" si="44"/>
        <v>0</v>
      </c>
      <c r="F122" s="211">
        <f t="shared" si="44"/>
        <v>115748.37669525933</v>
      </c>
      <c r="G122" s="211">
        <f t="shared" si="44"/>
        <v>0</v>
      </c>
      <c r="H122" s="211">
        <f t="shared" si="44"/>
        <v>32221.236744680507</v>
      </c>
      <c r="I122" s="211">
        <f t="shared" si="44"/>
        <v>24067.424248535594</v>
      </c>
      <c r="J122" s="211">
        <f t="shared" si="44"/>
        <v>30966.659773119754</v>
      </c>
      <c r="K122" s="211">
        <f t="shared" si="44"/>
        <v>1552.4536039621908</v>
      </c>
      <c r="L122" s="211">
        <f t="shared" si="44"/>
        <v>0</v>
      </c>
      <c r="M122" s="211">
        <f t="shared" si="44"/>
        <v>5822.1022693436025</v>
      </c>
      <c r="N122" s="211">
        <f t="shared" si="44"/>
        <v>14056.233024766967</v>
      </c>
      <c r="O122" s="211">
        <f t="shared" si="44"/>
        <v>0</v>
      </c>
      <c r="P122" s="211">
        <f t="shared" si="44"/>
        <v>16066.028967651626</v>
      </c>
      <c r="Q122" s="211">
        <f t="shared" si="44"/>
        <v>56668.932726351217</v>
      </c>
      <c r="R122" s="211">
        <f t="shared" si="44"/>
        <v>0</v>
      </c>
      <c r="S122" s="211">
        <f t="shared" si="44"/>
        <v>898.69719444280008</v>
      </c>
      <c r="T122" s="211">
        <f t="shared" si="44"/>
        <v>0</v>
      </c>
      <c r="U122" s="211">
        <f t="shared" si="44"/>
        <v>18901.619180665341</v>
      </c>
      <c r="V122" s="211">
        <f t="shared" si="44"/>
        <v>20180.881176092345</v>
      </c>
      <c r="W122" s="211">
        <f t="shared" si="44"/>
        <v>337150.64560487127</v>
      </c>
    </row>
    <row r="123" spans="1:23" s="27" customFormat="1">
      <c r="B123" s="487"/>
      <c r="C123" s="212" t="s">
        <v>189</v>
      </c>
      <c r="D123" s="211">
        <f t="shared" ref="D123:W123" si="45">D$126*$D75</f>
        <v>0</v>
      </c>
      <c r="E123" s="211">
        <f t="shared" si="45"/>
        <v>0</v>
      </c>
      <c r="F123" s="211">
        <f t="shared" si="45"/>
        <v>77686.792926131442</v>
      </c>
      <c r="G123" s="211">
        <f t="shared" si="45"/>
        <v>0</v>
      </c>
      <c r="H123" s="211">
        <f t="shared" si="45"/>
        <v>21625.914922315911</v>
      </c>
      <c r="I123" s="211">
        <f t="shared" si="45"/>
        <v>16153.32376352814</v>
      </c>
      <c r="J123" s="211">
        <f t="shared" si="45"/>
        <v>20783.880984715772</v>
      </c>
      <c r="K123" s="211">
        <f t="shared" si="45"/>
        <v>1041.9596810067123</v>
      </c>
      <c r="L123" s="211">
        <f t="shared" si="45"/>
        <v>0</v>
      </c>
      <c r="M123" s="211">
        <f t="shared" si="45"/>
        <v>3907.6181135919214</v>
      </c>
      <c r="N123" s="211">
        <f t="shared" si="45"/>
        <v>9434.1164471920038</v>
      </c>
      <c r="O123" s="211">
        <f t="shared" si="45"/>
        <v>0</v>
      </c>
      <c r="P123" s="211">
        <f t="shared" si="45"/>
        <v>10783.030407771585</v>
      </c>
      <c r="Q123" s="211">
        <f t="shared" si="45"/>
        <v>38034.465516933931</v>
      </c>
      <c r="R123" s="211">
        <f t="shared" si="45"/>
        <v>0</v>
      </c>
      <c r="S123" s="211">
        <f t="shared" si="45"/>
        <v>603.17824613459618</v>
      </c>
      <c r="T123" s="211">
        <f t="shared" si="45"/>
        <v>0</v>
      </c>
      <c r="U123" s="211">
        <f t="shared" si="45"/>
        <v>12686.192387154953</v>
      </c>
      <c r="V123" s="211">
        <f t="shared" si="45"/>
        <v>13544.794162613611</v>
      </c>
      <c r="W123" s="211">
        <f t="shared" si="45"/>
        <v>226285.2675590906</v>
      </c>
    </row>
    <row r="124" spans="1:23" s="27" customFormat="1">
      <c r="B124" s="487"/>
      <c r="C124" s="212" t="s">
        <v>188</v>
      </c>
      <c r="D124" s="211">
        <f t="shared" ref="D124:W124" si="46">D$126*$D76</f>
        <v>0</v>
      </c>
      <c r="E124" s="211">
        <f t="shared" si="46"/>
        <v>0</v>
      </c>
      <c r="F124" s="211">
        <f t="shared" si="46"/>
        <v>70371.413802117459</v>
      </c>
      <c r="G124" s="211">
        <f t="shared" si="46"/>
        <v>0</v>
      </c>
      <c r="H124" s="211">
        <f t="shared" si="46"/>
        <v>19589.510012271054</v>
      </c>
      <c r="I124" s="211">
        <f t="shared" si="46"/>
        <v>14632.245559726982</v>
      </c>
      <c r="J124" s="211">
        <f t="shared" si="46"/>
        <v>18826.766224988853</v>
      </c>
      <c r="K124" s="211">
        <f t="shared" si="46"/>
        <v>943.8435172239125</v>
      </c>
      <c r="L124" s="211">
        <f t="shared" si="46"/>
        <v>0</v>
      </c>
      <c r="M124" s="211">
        <f t="shared" si="46"/>
        <v>3539.657139839665</v>
      </c>
      <c r="N124" s="211">
        <f t="shared" si="46"/>
        <v>8545.7525965059867</v>
      </c>
      <c r="O124" s="211">
        <f t="shared" si="46"/>
        <v>0</v>
      </c>
      <c r="P124" s="211">
        <f t="shared" si="46"/>
        <v>9767.6460346050262</v>
      </c>
      <c r="Q124" s="211">
        <f t="shared" si="46"/>
        <v>34452.948961086797</v>
      </c>
      <c r="R124" s="211">
        <f t="shared" si="46"/>
        <v>0</v>
      </c>
      <c r="S124" s="211">
        <f t="shared" si="46"/>
        <v>546.37994897708586</v>
      </c>
      <c r="T124" s="211">
        <f t="shared" si="46"/>
        <v>0</v>
      </c>
      <c r="U124" s="211">
        <f t="shared" si="46"/>
        <v>11491.596710635504</v>
      </c>
      <c r="V124" s="211">
        <f t="shared" si="46"/>
        <v>12269.348224840567</v>
      </c>
      <c r="W124" s="211">
        <f t="shared" si="46"/>
        <v>204977.10873281889</v>
      </c>
    </row>
    <row r="125" spans="1:23" s="27" customFormat="1">
      <c r="B125" s="487"/>
      <c r="C125" s="212" t="s">
        <v>2</v>
      </c>
      <c r="D125" s="211">
        <f t="shared" ref="D125:W125" si="47">D$126*$D77</f>
        <v>0</v>
      </c>
      <c r="E125" s="211">
        <f t="shared" si="47"/>
        <v>0</v>
      </c>
      <c r="F125" s="211">
        <f t="shared" si="47"/>
        <v>36809.662604184516</v>
      </c>
      <c r="G125" s="211">
        <f t="shared" si="47"/>
        <v>0</v>
      </c>
      <c r="H125" s="211">
        <f t="shared" si="47"/>
        <v>10246.820621803319</v>
      </c>
      <c r="I125" s="211">
        <f t="shared" si="47"/>
        <v>7653.7899850879585</v>
      </c>
      <c r="J125" s="211">
        <f t="shared" si="47"/>
        <v>9847.8469484557063</v>
      </c>
      <c r="K125" s="211">
        <f t="shared" si="47"/>
        <v>493.70276285558498</v>
      </c>
      <c r="L125" s="211">
        <f t="shared" si="47"/>
        <v>0</v>
      </c>
      <c r="M125" s="211">
        <f t="shared" si="47"/>
        <v>1851.512965454594</v>
      </c>
      <c r="N125" s="211">
        <f t="shared" si="47"/>
        <v>4470.0859735569775</v>
      </c>
      <c r="O125" s="211">
        <f t="shared" si="47"/>
        <v>0</v>
      </c>
      <c r="P125" s="211">
        <f t="shared" si="47"/>
        <v>5109.2302334857059</v>
      </c>
      <c r="Q125" s="211">
        <f t="shared" si="47"/>
        <v>18021.542533491553</v>
      </c>
      <c r="R125" s="211">
        <f t="shared" si="47"/>
        <v>0</v>
      </c>
      <c r="S125" s="211">
        <f t="shared" si="47"/>
        <v>285.79874254186024</v>
      </c>
      <c r="T125" s="211">
        <f t="shared" si="47"/>
        <v>0</v>
      </c>
      <c r="U125" s="211">
        <f t="shared" si="47"/>
        <v>6010.9890486401091</v>
      </c>
      <c r="V125" s="211">
        <f t="shared" si="47"/>
        <v>6417.8129176089114</v>
      </c>
      <c r="W125" s="211">
        <f t="shared" si="47"/>
        <v>107218.7953371668</v>
      </c>
    </row>
    <row r="126" spans="1:23" s="205" customFormat="1">
      <c r="B126" s="488"/>
      <c r="C126" s="210" t="s">
        <v>190</v>
      </c>
      <c r="D126" s="98">
        <f t="shared" ref="D126:W126" si="48">D114</f>
        <v>0</v>
      </c>
      <c r="E126" s="98">
        <f t="shared" si="48"/>
        <v>0</v>
      </c>
      <c r="F126" s="98">
        <f t="shared" si="48"/>
        <v>923092</v>
      </c>
      <c r="G126" s="98">
        <f t="shared" si="48"/>
        <v>0</v>
      </c>
      <c r="H126" s="98">
        <f t="shared" si="48"/>
        <v>256964</v>
      </c>
      <c r="I126" s="98">
        <f t="shared" si="48"/>
        <v>191937.43721279447</v>
      </c>
      <c r="J126" s="98">
        <f t="shared" si="48"/>
        <v>246958.76278720555</v>
      </c>
      <c r="K126" s="98">
        <f t="shared" si="48"/>
        <v>12380.8</v>
      </c>
      <c r="L126" s="98">
        <f t="shared" si="48"/>
        <v>0</v>
      </c>
      <c r="M126" s="98">
        <f t="shared" si="48"/>
        <v>46431.199999999997</v>
      </c>
      <c r="N126" s="98">
        <f t="shared" si="48"/>
        <v>112098.3</v>
      </c>
      <c r="O126" s="98">
        <f t="shared" si="48"/>
        <v>0</v>
      </c>
      <c r="P126" s="98">
        <f t="shared" si="48"/>
        <v>128126.39999999999</v>
      </c>
      <c r="Q126" s="98">
        <f t="shared" si="48"/>
        <v>451934.1</v>
      </c>
      <c r="R126" s="98">
        <f t="shared" si="48"/>
        <v>0</v>
      </c>
      <c r="S126" s="98">
        <f t="shared" si="48"/>
        <v>7167.1</v>
      </c>
      <c r="T126" s="98">
        <f t="shared" si="48"/>
        <v>0</v>
      </c>
      <c r="U126" s="98">
        <f t="shared" si="48"/>
        <v>150740.20000000001</v>
      </c>
      <c r="V126" s="98">
        <f t="shared" si="48"/>
        <v>160942.29999999999</v>
      </c>
      <c r="W126" s="98">
        <f t="shared" si="48"/>
        <v>2688772.6</v>
      </c>
    </row>
    <row r="127" spans="1:23" s="27" customFormat="1">
      <c r="B127" s="483" t="s">
        <v>107</v>
      </c>
      <c r="C127" s="208" t="s">
        <v>184</v>
      </c>
      <c r="D127" s="208">
        <f>D112*$D$83</f>
        <v>574.54020000000003</v>
      </c>
      <c r="E127" s="208">
        <f>E112*$D$83</f>
        <v>5.0309999999999997</v>
      </c>
      <c r="F127" s="208">
        <f>F112*$C$83</f>
        <v>2987.76</v>
      </c>
      <c r="G127" s="208">
        <f>G112*$D$83</f>
        <v>1742.7384</v>
      </c>
      <c r="H127" s="208">
        <f>H112*$C$83</f>
        <v>2993.07</v>
      </c>
      <c r="I127" s="208">
        <f>I112*$C$83</f>
        <v>869.93104460541383</v>
      </c>
      <c r="J127" s="208">
        <f>J112*$C$83</f>
        <v>1544.8092452830188</v>
      </c>
      <c r="K127" s="208">
        <f>K112*$C$83</f>
        <v>1449.63</v>
      </c>
      <c r="L127" s="208">
        <f>L112*$D$83</f>
        <v>815.02199999999993</v>
      </c>
      <c r="M127" s="208">
        <f>M112*$C$83</f>
        <v>1214.22</v>
      </c>
      <c r="N127" s="208">
        <f>N112*$C$83</f>
        <v>2310.7350000000001</v>
      </c>
      <c r="O127" s="208">
        <f>O112*$D$83</f>
        <v>1718.5896</v>
      </c>
      <c r="P127" s="208">
        <f>P112*$C$83</f>
        <v>1228.3800000000001</v>
      </c>
      <c r="Q127" s="208">
        <f>Q112*$C$83</f>
        <v>2159.4</v>
      </c>
      <c r="R127" s="208">
        <f>R112*$D$83</f>
        <v>294.81659999999999</v>
      </c>
      <c r="S127" s="208">
        <f>S112*$C$83</f>
        <v>1034.5650000000001</v>
      </c>
      <c r="T127" s="208">
        <f>T112*$D$83</f>
        <v>828.10259999999994</v>
      </c>
      <c r="U127" s="208">
        <f>U112*$C$83</f>
        <v>1374.405</v>
      </c>
      <c r="V127" s="208">
        <f>V112*$C$83</f>
        <v>690.3</v>
      </c>
      <c r="W127" s="208">
        <f t="shared" ref="W127:W147" si="49">SUM(D127:V127)</f>
        <v>25836.045689888426</v>
      </c>
    </row>
    <row r="128" spans="1:23" s="27" customFormat="1">
      <c r="B128" s="484"/>
      <c r="C128" s="209" t="s">
        <v>19</v>
      </c>
      <c r="D128" s="208">
        <f t="shared" ref="D128:V128" si="50">D$133*$C73</f>
        <v>24854.382281437694</v>
      </c>
      <c r="E128" s="208">
        <f t="shared" si="50"/>
        <v>217.63907426828104</v>
      </c>
      <c r="F128" s="208">
        <f t="shared" si="50"/>
        <v>129249.31833349222</v>
      </c>
      <c r="G128" s="208">
        <f t="shared" si="50"/>
        <v>75390.175326532553</v>
      </c>
      <c r="H128" s="208">
        <f t="shared" si="50"/>
        <v>129479.02683763942</v>
      </c>
      <c r="I128" s="208">
        <f t="shared" si="50"/>
        <v>37632.873628535279</v>
      </c>
      <c r="J128" s="208">
        <f t="shared" si="50"/>
        <v>66827.838215956683</v>
      </c>
      <c r="K128" s="208">
        <f t="shared" si="50"/>
        <v>62710.421632186102</v>
      </c>
      <c r="L128" s="208">
        <f t="shared" si="50"/>
        <v>35257.530031461523</v>
      </c>
      <c r="M128" s="208">
        <f t="shared" si="50"/>
        <v>52526.677948326818</v>
      </c>
      <c r="N128" s="208">
        <f t="shared" si="50"/>
        <v>99961.484054724002</v>
      </c>
      <c r="O128" s="208">
        <f t="shared" si="50"/>
        <v>74345.507770044802</v>
      </c>
      <c r="P128" s="208">
        <f t="shared" si="50"/>
        <v>53139.233959386023</v>
      </c>
      <c r="Q128" s="208">
        <f t="shared" si="50"/>
        <v>93414.791686528755</v>
      </c>
      <c r="R128" s="208">
        <f t="shared" si="50"/>
        <v>12753.649752121268</v>
      </c>
      <c r="S128" s="208">
        <f t="shared" si="50"/>
        <v>44754.873558013154</v>
      </c>
      <c r="T128" s="208">
        <f t="shared" si="50"/>
        <v>35823.391624559066</v>
      </c>
      <c r="U128" s="208">
        <f t="shared" si="50"/>
        <v>59456.217823434068</v>
      </c>
      <c r="V128" s="208">
        <f t="shared" si="50"/>
        <v>29862.105539136239</v>
      </c>
      <c r="W128" s="208">
        <f t="shared" si="49"/>
        <v>1117657.139077784</v>
      </c>
    </row>
    <row r="129" spans="2:23" s="27" customFormat="1">
      <c r="B129" s="484"/>
      <c r="C129" s="209" t="s">
        <v>17</v>
      </c>
      <c r="D129" s="208">
        <f t="shared" ref="D129:V129" si="51">D$133*$C74</f>
        <v>2761.5980312708552</v>
      </c>
      <c r="E129" s="208">
        <f t="shared" si="51"/>
        <v>24.182119363142338</v>
      </c>
      <c r="F129" s="208">
        <f t="shared" si="51"/>
        <v>14361.035370388025</v>
      </c>
      <c r="G129" s="208">
        <f t="shared" si="51"/>
        <v>8376.6861473925073</v>
      </c>
      <c r="H129" s="208">
        <f t="shared" si="51"/>
        <v>14386.558537515491</v>
      </c>
      <c r="I129" s="208">
        <f t="shared" si="51"/>
        <v>4181.430403170586</v>
      </c>
      <c r="J129" s="208">
        <f t="shared" si="51"/>
        <v>7425.3153573285208</v>
      </c>
      <c r="K129" s="208">
        <f t="shared" si="51"/>
        <v>6967.8246257984565</v>
      </c>
      <c r="L129" s="208">
        <f t="shared" si="51"/>
        <v>3917.5033368290588</v>
      </c>
      <c r="M129" s="208">
        <f t="shared" si="51"/>
        <v>5836.2975498140913</v>
      </c>
      <c r="N129" s="208">
        <f t="shared" si="51"/>
        <v>11106.831561636</v>
      </c>
      <c r="O129" s="208">
        <f t="shared" si="51"/>
        <v>8260.6119744494226</v>
      </c>
      <c r="P129" s="208">
        <f t="shared" si="51"/>
        <v>5904.3593288206694</v>
      </c>
      <c r="Q129" s="208">
        <f t="shared" si="51"/>
        <v>10379.421298503195</v>
      </c>
      <c r="R129" s="208">
        <f t="shared" si="51"/>
        <v>1417.0721946801409</v>
      </c>
      <c r="S129" s="208">
        <f t="shared" si="51"/>
        <v>4972.7637286681284</v>
      </c>
      <c r="T129" s="208">
        <f t="shared" si="51"/>
        <v>3980.3768471732292</v>
      </c>
      <c r="U129" s="208">
        <f t="shared" si="51"/>
        <v>6606.2464248260076</v>
      </c>
      <c r="V129" s="208">
        <f t="shared" si="51"/>
        <v>3318.0117265706936</v>
      </c>
      <c r="W129" s="208">
        <f t="shared" si="49"/>
        <v>124184.12656419823</v>
      </c>
    </row>
    <row r="130" spans="2:23" s="27" customFormat="1">
      <c r="B130" s="484"/>
      <c r="C130" s="209" t="s">
        <v>189</v>
      </c>
      <c r="D130" s="208">
        <f t="shared" ref="D130:V130" si="52">D$133*$C75</f>
        <v>0</v>
      </c>
      <c r="E130" s="208">
        <f t="shared" si="52"/>
        <v>0</v>
      </c>
      <c r="F130" s="208">
        <f t="shared" si="52"/>
        <v>0</v>
      </c>
      <c r="G130" s="208">
        <f t="shared" si="52"/>
        <v>0</v>
      </c>
      <c r="H130" s="208">
        <f t="shared" si="52"/>
        <v>0</v>
      </c>
      <c r="I130" s="208">
        <f t="shared" si="52"/>
        <v>0</v>
      </c>
      <c r="J130" s="208">
        <f t="shared" si="52"/>
        <v>0</v>
      </c>
      <c r="K130" s="208">
        <f t="shared" si="52"/>
        <v>0</v>
      </c>
      <c r="L130" s="208">
        <f t="shared" si="52"/>
        <v>0</v>
      </c>
      <c r="M130" s="208">
        <f t="shared" si="52"/>
        <v>0</v>
      </c>
      <c r="N130" s="208">
        <f t="shared" si="52"/>
        <v>0</v>
      </c>
      <c r="O130" s="208">
        <f t="shared" si="52"/>
        <v>0</v>
      </c>
      <c r="P130" s="208">
        <f t="shared" si="52"/>
        <v>0</v>
      </c>
      <c r="Q130" s="208">
        <f t="shared" si="52"/>
        <v>0</v>
      </c>
      <c r="R130" s="208">
        <f t="shared" si="52"/>
        <v>0</v>
      </c>
      <c r="S130" s="208">
        <f t="shared" si="52"/>
        <v>0</v>
      </c>
      <c r="T130" s="208">
        <f t="shared" si="52"/>
        <v>0</v>
      </c>
      <c r="U130" s="208">
        <f t="shared" si="52"/>
        <v>0</v>
      </c>
      <c r="V130" s="208">
        <f t="shared" si="52"/>
        <v>0</v>
      </c>
      <c r="W130" s="208">
        <f t="shared" si="49"/>
        <v>0</v>
      </c>
    </row>
    <row r="131" spans="2:23" s="27" customFormat="1">
      <c r="B131" s="484"/>
      <c r="C131" s="209" t="s">
        <v>188</v>
      </c>
      <c r="D131" s="208">
        <f t="shared" ref="D131:V131" si="53">D$133*$C76</f>
        <v>0</v>
      </c>
      <c r="E131" s="208">
        <f t="shared" si="53"/>
        <v>0</v>
      </c>
      <c r="F131" s="208">
        <f t="shared" si="53"/>
        <v>0</v>
      </c>
      <c r="G131" s="208">
        <f t="shared" si="53"/>
        <v>0</v>
      </c>
      <c r="H131" s="208">
        <f t="shared" si="53"/>
        <v>0</v>
      </c>
      <c r="I131" s="208">
        <f t="shared" si="53"/>
        <v>0</v>
      </c>
      <c r="J131" s="208">
        <f t="shared" si="53"/>
        <v>0</v>
      </c>
      <c r="K131" s="208">
        <f t="shared" si="53"/>
        <v>0</v>
      </c>
      <c r="L131" s="208">
        <f t="shared" si="53"/>
        <v>0</v>
      </c>
      <c r="M131" s="208">
        <f t="shared" si="53"/>
        <v>0</v>
      </c>
      <c r="N131" s="208">
        <f t="shared" si="53"/>
        <v>0</v>
      </c>
      <c r="O131" s="208">
        <f t="shared" si="53"/>
        <v>0</v>
      </c>
      <c r="P131" s="208">
        <f t="shared" si="53"/>
        <v>0</v>
      </c>
      <c r="Q131" s="208">
        <f t="shared" si="53"/>
        <v>0</v>
      </c>
      <c r="R131" s="208">
        <f t="shared" si="53"/>
        <v>0</v>
      </c>
      <c r="S131" s="208">
        <f t="shared" si="53"/>
        <v>0</v>
      </c>
      <c r="T131" s="208">
        <f t="shared" si="53"/>
        <v>0</v>
      </c>
      <c r="U131" s="208">
        <f t="shared" si="53"/>
        <v>0</v>
      </c>
      <c r="V131" s="208">
        <f t="shared" si="53"/>
        <v>0</v>
      </c>
      <c r="W131" s="208">
        <f t="shared" si="49"/>
        <v>0</v>
      </c>
    </row>
    <row r="132" spans="2:23" s="27" customFormat="1">
      <c r="B132" s="484"/>
      <c r="C132" s="209" t="s">
        <v>2</v>
      </c>
      <c r="D132" s="208">
        <f t="shared" ref="D132:V132" si="54">D$133*$C77</f>
        <v>0</v>
      </c>
      <c r="E132" s="208">
        <f t="shared" si="54"/>
        <v>0</v>
      </c>
      <c r="F132" s="208">
        <f t="shared" si="54"/>
        <v>0</v>
      </c>
      <c r="G132" s="208">
        <f t="shared" si="54"/>
        <v>0</v>
      </c>
      <c r="H132" s="208">
        <f t="shared" si="54"/>
        <v>0</v>
      </c>
      <c r="I132" s="208">
        <f t="shared" si="54"/>
        <v>0</v>
      </c>
      <c r="J132" s="208">
        <f t="shared" si="54"/>
        <v>0</v>
      </c>
      <c r="K132" s="208">
        <f t="shared" si="54"/>
        <v>0</v>
      </c>
      <c r="L132" s="208">
        <f t="shared" si="54"/>
        <v>0</v>
      </c>
      <c r="M132" s="208">
        <f t="shared" si="54"/>
        <v>0</v>
      </c>
      <c r="N132" s="208">
        <f t="shared" si="54"/>
        <v>0</v>
      </c>
      <c r="O132" s="208">
        <f t="shared" si="54"/>
        <v>0</v>
      </c>
      <c r="P132" s="208">
        <f t="shared" si="54"/>
        <v>0</v>
      </c>
      <c r="Q132" s="208">
        <f t="shared" si="54"/>
        <v>0</v>
      </c>
      <c r="R132" s="208">
        <f t="shared" si="54"/>
        <v>0</v>
      </c>
      <c r="S132" s="208">
        <f t="shared" si="54"/>
        <v>0</v>
      </c>
      <c r="T132" s="208">
        <f t="shared" si="54"/>
        <v>0</v>
      </c>
      <c r="U132" s="208">
        <f t="shared" si="54"/>
        <v>0</v>
      </c>
      <c r="V132" s="208">
        <f t="shared" si="54"/>
        <v>0</v>
      </c>
      <c r="W132" s="208">
        <f t="shared" si="49"/>
        <v>0</v>
      </c>
    </row>
    <row r="133" spans="2:23" s="205" customFormat="1">
      <c r="B133" s="485"/>
      <c r="C133" s="207" t="s">
        <v>187</v>
      </c>
      <c r="D133" s="206">
        <f t="shared" ref="D133:V133" si="55">$C$94*(D127/$C$104)*1000000</f>
        <v>27615.980312708551</v>
      </c>
      <c r="E133" s="206">
        <f t="shared" si="55"/>
        <v>241.82119363142337</v>
      </c>
      <c r="F133" s="206">
        <f t="shared" si="55"/>
        <v>143610.35370388025</v>
      </c>
      <c r="G133" s="206">
        <f t="shared" si="55"/>
        <v>83766.861473925062</v>
      </c>
      <c r="H133" s="206">
        <f t="shared" si="55"/>
        <v>143865.58537515491</v>
      </c>
      <c r="I133" s="206">
        <f t="shared" si="55"/>
        <v>41814.304031705862</v>
      </c>
      <c r="J133" s="206">
        <f t="shared" si="55"/>
        <v>74253.153573285206</v>
      </c>
      <c r="K133" s="206">
        <f t="shared" si="55"/>
        <v>69678.24625798456</v>
      </c>
      <c r="L133" s="206">
        <f t="shared" si="55"/>
        <v>39175.033368290584</v>
      </c>
      <c r="M133" s="206">
        <f t="shared" si="55"/>
        <v>58362.975498140906</v>
      </c>
      <c r="N133" s="206">
        <f t="shared" si="55"/>
        <v>111068.31561635999</v>
      </c>
      <c r="O133" s="206">
        <f t="shared" si="55"/>
        <v>82606.119744494223</v>
      </c>
      <c r="P133" s="206">
        <f t="shared" si="55"/>
        <v>59043.593288206692</v>
      </c>
      <c r="Q133" s="206">
        <f t="shared" si="55"/>
        <v>103794.21298503195</v>
      </c>
      <c r="R133" s="206">
        <f t="shared" si="55"/>
        <v>14170.721946801408</v>
      </c>
      <c r="S133" s="206">
        <f t="shared" si="55"/>
        <v>49727.637286681282</v>
      </c>
      <c r="T133" s="206">
        <f t="shared" si="55"/>
        <v>39803.768471732292</v>
      </c>
      <c r="U133" s="206">
        <f t="shared" si="55"/>
        <v>66062.464248260076</v>
      </c>
      <c r="V133" s="206">
        <f t="shared" si="55"/>
        <v>33180.117265706933</v>
      </c>
      <c r="W133" s="206">
        <f t="shared" si="49"/>
        <v>1241841.2656419817</v>
      </c>
    </row>
    <row r="134" spans="2:23" s="27" customFormat="1">
      <c r="B134" s="486" t="s">
        <v>131</v>
      </c>
      <c r="C134" s="211" t="s">
        <v>184</v>
      </c>
      <c r="D134" s="211">
        <f>D112*$D$86</f>
        <v>143.892</v>
      </c>
      <c r="E134" s="211">
        <f>E112*$D$86</f>
        <v>1.26</v>
      </c>
      <c r="F134" s="211">
        <f>F112*$C$86</f>
        <v>759.59999999999991</v>
      </c>
      <c r="G134" s="211">
        <f>G112*$D$86</f>
        <v>436.464</v>
      </c>
      <c r="H134" s="211">
        <f>H112*$C$86</f>
        <v>760.94999999999993</v>
      </c>
      <c r="I134" s="211">
        <f>I112*$C$86</f>
        <v>221.16890964544416</v>
      </c>
      <c r="J134" s="211">
        <f>J112*$C$86</f>
        <v>392.74811320754708</v>
      </c>
      <c r="K134" s="211">
        <f>K112*$C$86</f>
        <v>368.54999999999995</v>
      </c>
      <c r="L134" s="211">
        <f>L112*$D$86</f>
        <v>204.12</v>
      </c>
      <c r="M134" s="211">
        <f>M112*$C$86</f>
        <v>308.7</v>
      </c>
      <c r="N134" s="211">
        <f>N112*$C$86</f>
        <v>587.47499999999991</v>
      </c>
      <c r="O134" s="211">
        <f>O112*$D$86</f>
        <v>430.416</v>
      </c>
      <c r="P134" s="211">
        <f>P112*$C$86</f>
        <v>312.29999999999995</v>
      </c>
      <c r="Q134" s="211">
        <f>Q112*$C$86</f>
        <v>549</v>
      </c>
      <c r="R134" s="211">
        <f>R112*$D$86</f>
        <v>73.835999999999999</v>
      </c>
      <c r="S134" s="211">
        <f>S112*$C$86</f>
        <v>263.02499999999998</v>
      </c>
      <c r="T134" s="211">
        <f>T112*$D$86</f>
        <v>207.39600000000002</v>
      </c>
      <c r="U134" s="211">
        <f>U112*$C$86</f>
        <v>349.42499999999995</v>
      </c>
      <c r="V134" s="211">
        <f>V112*$C$86</f>
        <v>175.49999999999997</v>
      </c>
      <c r="W134" s="211">
        <f t="shared" si="49"/>
        <v>6545.8260228529916</v>
      </c>
    </row>
    <row r="135" spans="2:23" s="27" customFormat="1">
      <c r="B135" s="487"/>
      <c r="C135" s="212" t="s">
        <v>19</v>
      </c>
      <c r="D135" s="211">
        <f t="shared" ref="D135:V135" si="56">D$140*$F73</f>
        <v>2272.6768996091137</v>
      </c>
      <c r="E135" s="211">
        <f t="shared" si="56"/>
        <v>19.90084850796072</v>
      </c>
      <c r="F135" s="211">
        <f t="shared" si="56"/>
        <v>11997.368671942033</v>
      </c>
      <c r="G135" s="211">
        <f t="shared" si="56"/>
        <v>6893.6539231575916</v>
      </c>
      <c r="H135" s="211">
        <f t="shared" si="56"/>
        <v>12018.691009629132</v>
      </c>
      <c r="I135" s="211">
        <f t="shared" si="56"/>
        <v>3493.2134647022513</v>
      </c>
      <c r="J135" s="211">
        <f t="shared" si="56"/>
        <v>6203.1910339133346</v>
      </c>
      <c r="K135" s="211">
        <f t="shared" si="56"/>
        <v>5820.9981885785091</v>
      </c>
      <c r="L135" s="211">
        <f t="shared" si="56"/>
        <v>3223.9374582896367</v>
      </c>
      <c r="M135" s="211">
        <f t="shared" si="56"/>
        <v>4875.7078844503749</v>
      </c>
      <c r="N135" s="211">
        <f t="shared" si="56"/>
        <v>9278.770616836684</v>
      </c>
      <c r="O135" s="211">
        <f t="shared" si="56"/>
        <v>6798.1298503193821</v>
      </c>
      <c r="P135" s="211">
        <f t="shared" si="56"/>
        <v>4932.567451615977</v>
      </c>
      <c r="Q135" s="211">
        <f t="shared" si="56"/>
        <v>8671.0839927543129</v>
      </c>
      <c r="R135" s="211">
        <f t="shared" si="56"/>
        <v>1166.1897225664982</v>
      </c>
      <c r="S135" s="211">
        <f t="shared" si="56"/>
        <v>4154.3021260368005</v>
      </c>
      <c r="T135" s="211">
        <f t="shared" si="56"/>
        <v>3275.6796644103347</v>
      </c>
      <c r="U135" s="211">
        <f t="shared" si="56"/>
        <v>5518.9317380112479</v>
      </c>
      <c r="V135" s="211">
        <f t="shared" si="56"/>
        <v>2771.9038993230997</v>
      </c>
      <c r="W135" s="211">
        <f t="shared" si="49"/>
        <v>103386.89844465426</v>
      </c>
    </row>
    <row r="136" spans="2:23" s="27" customFormat="1">
      <c r="B136" s="487"/>
      <c r="C136" s="212" t="s">
        <v>17</v>
      </c>
      <c r="D136" s="211">
        <f t="shared" ref="D136:V136" si="57">D$140*$F74</f>
        <v>544.16207455429492</v>
      </c>
      <c r="E136" s="211">
        <f t="shared" si="57"/>
        <v>4.7649918962722859</v>
      </c>
      <c r="F136" s="211">
        <f t="shared" si="57"/>
        <v>2872.6094003241487</v>
      </c>
      <c r="G136" s="211">
        <f t="shared" si="57"/>
        <v>1650.5931928687194</v>
      </c>
      <c r="H136" s="211">
        <f t="shared" si="57"/>
        <v>2877.7147487844404</v>
      </c>
      <c r="I136" s="211">
        <f t="shared" si="57"/>
        <v>836.40322394279269</v>
      </c>
      <c r="J136" s="211">
        <f t="shared" si="57"/>
        <v>1485.2710926271366</v>
      </c>
      <c r="K136" s="211">
        <f t="shared" si="57"/>
        <v>1393.7601296596431</v>
      </c>
      <c r="L136" s="211">
        <f t="shared" si="57"/>
        <v>771.92868719611022</v>
      </c>
      <c r="M136" s="211">
        <f t="shared" si="57"/>
        <v>1167.4230145867098</v>
      </c>
      <c r="N136" s="211">
        <f t="shared" si="57"/>
        <v>2221.6774716369528</v>
      </c>
      <c r="O136" s="211">
        <f t="shared" si="57"/>
        <v>1627.7212317666128</v>
      </c>
      <c r="P136" s="211">
        <f t="shared" si="57"/>
        <v>1181.0372771474877</v>
      </c>
      <c r="Q136" s="211">
        <f t="shared" si="57"/>
        <v>2076.1750405186385</v>
      </c>
      <c r="R136" s="211">
        <f t="shared" si="57"/>
        <v>279.22852512155595</v>
      </c>
      <c r="S136" s="211">
        <f t="shared" si="57"/>
        <v>994.69205834683964</v>
      </c>
      <c r="T136" s="211">
        <f t="shared" si="57"/>
        <v>784.31766612641832</v>
      </c>
      <c r="U136" s="211">
        <f t="shared" si="57"/>
        <v>1321.4343598055102</v>
      </c>
      <c r="V136" s="211">
        <f t="shared" si="57"/>
        <v>663.6952998379254</v>
      </c>
      <c r="W136" s="211">
        <f t="shared" si="49"/>
        <v>24754.609486748206</v>
      </c>
    </row>
    <row r="137" spans="2:23" s="27" customFormat="1">
      <c r="B137" s="487"/>
      <c r="C137" s="212" t="s">
        <v>189</v>
      </c>
      <c r="D137" s="211">
        <f t="shared" ref="D137:V137" si="58">D$140*$F75</f>
        <v>384.11440556773755</v>
      </c>
      <c r="E137" s="211">
        <f t="shared" si="58"/>
        <v>3.3635236914863191</v>
      </c>
      <c r="F137" s="211">
        <f t="shared" si="58"/>
        <v>2027.724282581752</v>
      </c>
      <c r="G137" s="211">
        <f t="shared" si="58"/>
        <v>1165.1246067308607</v>
      </c>
      <c r="H137" s="211">
        <f t="shared" si="58"/>
        <v>2031.328057965487</v>
      </c>
      <c r="I137" s="211">
        <f t="shared" si="58"/>
        <v>590.40227572432423</v>
      </c>
      <c r="J137" s="211">
        <f t="shared" si="58"/>
        <v>1048.4266536191551</v>
      </c>
      <c r="K137" s="211">
        <f t="shared" si="58"/>
        <v>983.83067975974802</v>
      </c>
      <c r="L137" s="211">
        <f t="shared" si="58"/>
        <v>544.89083802078369</v>
      </c>
      <c r="M137" s="211">
        <f t="shared" si="58"/>
        <v>824.06330441414798</v>
      </c>
      <c r="N137" s="211">
        <f t="shared" si="58"/>
        <v>1568.2429211554959</v>
      </c>
      <c r="O137" s="211">
        <f t="shared" si="58"/>
        <v>1148.9796930117266</v>
      </c>
      <c r="P137" s="211">
        <f t="shared" si="58"/>
        <v>833.67337210410881</v>
      </c>
      <c r="Q137" s="211">
        <f t="shared" si="58"/>
        <v>1465.5353227190387</v>
      </c>
      <c r="R137" s="211">
        <f t="shared" si="58"/>
        <v>197.10248832109829</v>
      </c>
      <c r="S137" s="211">
        <f t="shared" si="58"/>
        <v>702.13557059776906</v>
      </c>
      <c r="T137" s="211">
        <f t="shared" si="58"/>
        <v>553.63599961864816</v>
      </c>
      <c r="U137" s="211">
        <f t="shared" si="58"/>
        <v>932.77719515683066</v>
      </c>
      <c r="V137" s="211">
        <f t="shared" si="58"/>
        <v>468.49079988559436</v>
      </c>
      <c r="W137" s="211">
        <f t="shared" si="49"/>
        <v>17473.841990645797</v>
      </c>
    </row>
    <row r="138" spans="2:23" s="27" customFormat="1">
      <c r="B138" s="487"/>
      <c r="C138" s="212" t="s">
        <v>188</v>
      </c>
      <c r="D138" s="211">
        <f t="shared" ref="D138:V138" si="59">D$140*$F76</f>
        <v>0</v>
      </c>
      <c r="E138" s="211">
        <f t="shared" si="59"/>
        <v>0</v>
      </c>
      <c r="F138" s="211">
        <f t="shared" si="59"/>
        <v>0</v>
      </c>
      <c r="G138" s="211">
        <f t="shared" si="59"/>
        <v>0</v>
      </c>
      <c r="H138" s="211">
        <f t="shared" si="59"/>
        <v>0</v>
      </c>
      <c r="I138" s="211">
        <f t="shared" si="59"/>
        <v>0</v>
      </c>
      <c r="J138" s="211">
        <f t="shared" si="59"/>
        <v>0</v>
      </c>
      <c r="K138" s="211">
        <f t="shared" si="59"/>
        <v>0</v>
      </c>
      <c r="L138" s="211">
        <f t="shared" si="59"/>
        <v>0</v>
      </c>
      <c r="M138" s="211">
        <f t="shared" si="59"/>
        <v>0</v>
      </c>
      <c r="N138" s="211">
        <f t="shared" si="59"/>
        <v>0</v>
      </c>
      <c r="O138" s="211">
        <f t="shared" si="59"/>
        <v>0</v>
      </c>
      <c r="P138" s="211">
        <f t="shared" si="59"/>
        <v>0</v>
      </c>
      <c r="Q138" s="211">
        <f t="shared" si="59"/>
        <v>0</v>
      </c>
      <c r="R138" s="211">
        <f t="shared" si="59"/>
        <v>0</v>
      </c>
      <c r="S138" s="211">
        <f t="shared" si="59"/>
        <v>0</v>
      </c>
      <c r="T138" s="211">
        <f t="shared" si="59"/>
        <v>0</v>
      </c>
      <c r="U138" s="211">
        <f t="shared" si="59"/>
        <v>0</v>
      </c>
      <c r="V138" s="211">
        <f t="shared" si="59"/>
        <v>0</v>
      </c>
      <c r="W138" s="211">
        <f t="shared" si="49"/>
        <v>0</v>
      </c>
    </row>
    <row r="139" spans="2:23" s="27" customFormat="1">
      <c r="B139" s="487"/>
      <c r="C139" s="212" t="s">
        <v>2</v>
      </c>
      <c r="D139" s="211">
        <f t="shared" ref="D139:V139" si="60">D$140*$F77</f>
        <v>0</v>
      </c>
      <c r="E139" s="211">
        <f t="shared" si="60"/>
        <v>0</v>
      </c>
      <c r="F139" s="211">
        <f t="shared" si="60"/>
        <v>0</v>
      </c>
      <c r="G139" s="211">
        <f t="shared" si="60"/>
        <v>0</v>
      </c>
      <c r="H139" s="211">
        <f t="shared" si="60"/>
        <v>0</v>
      </c>
      <c r="I139" s="211">
        <f t="shared" si="60"/>
        <v>0</v>
      </c>
      <c r="J139" s="211">
        <f t="shared" si="60"/>
        <v>0</v>
      </c>
      <c r="K139" s="211">
        <f t="shared" si="60"/>
        <v>0</v>
      </c>
      <c r="L139" s="211">
        <f t="shared" si="60"/>
        <v>0</v>
      </c>
      <c r="M139" s="211">
        <f t="shared" si="60"/>
        <v>0</v>
      </c>
      <c r="N139" s="211">
        <f t="shared" si="60"/>
        <v>0</v>
      </c>
      <c r="O139" s="211">
        <f t="shared" si="60"/>
        <v>0</v>
      </c>
      <c r="P139" s="211">
        <f t="shared" si="60"/>
        <v>0</v>
      </c>
      <c r="Q139" s="211">
        <f t="shared" si="60"/>
        <v>0</v>
      </c>
      <c r="R139" s="211">
        <f t="shared" si="60"/>
        <v>0</v>
      </c>
      <c r="S139" s="211">
        <f t="shared" si="60"/>
        <v>0</v>
      </c>
      <c r="T139" s="211">
        <f t="shared" si="60"/>
        <v>0</v>
      </c>
      <c r="U139" s="211">
        <f t="shared" si="60"/>
        <v>0</v>
      </c>
      <c r="V139" s="211">
        <f t="shared" si="60"/>
        <v>0</v>
      </c>
      <c r="W139" s="211">
        <f t="shared" si="49"/>
        <v>0</v>
      </c>
    </row>
    <row r="140" spans="2:23" s="205" customFormat="1">
      <c r="B140" s="488"/>
      <c r="C140" s="210" t="s">
        <v>187</v>
      </c>
      <c r="D140" s="98">
        <f t="shared" ref="D140:V140" si="61">$C$97*(D134/$C$104)*1000000</f>
        <v>3200.9533797311465</v>
      </c>
      <c r="E140" s="98">
        <f t="shared" si="61"/>
        <v>28.029364095719327</v>
      </c>
      <c r="F140" s="98">
        <f t="shared" si="61"/>
        <v>16897.702354847934</v>
      </c>
      <c r="G140" s="98">
        <f t="shared" si="61"/>
        <v>9709.3717227571724</v>
      </c>
      <c r="H140" s="98">
        <f t="shared" si="61"/>
        <v>16927.733816379059</v>
      </c>
      <c r="I140" s="98">
        <f t="shared" si="61"/>
        <v>4920.0189643693684</v>
      </c>
      <c r="J140" s="98">
        <f t="shared" si="61"/>
        <v>8736.8887801596265</v>
      </c>
      <c r="K140" s="98">
        <f t="shared" si="61"/>
        <v>8198.5889979979002</v>
      </c>
      <c r="L140" s="98">
        <f t="shared" si="61"/>
        <v>4540.7569835065306</v>
      </c>
      <c r="M140" s="98">
        <f t="shared" si="61"/>
        <v>6867.1942034512331</v>
      </c>
      <c r="N140" s="98">
        <f t="shared" si="61"/>
        <v>13068.691009629132</v>
      </c>
      <c r="O140" s="98">
        <f t="shared" si="61"/>
        <v>9574.8307750977219</v>
      </c>
      <c r="P140" s="98">
        <f t="shared" si="61"/>
        <v>6947.2781008675738</v>
      </c>
      <c r="Q140" s="98">
        <f t="shared" si="61"/>
        <v>12212.79435599199</v>
      </c>
      <c r="R140" s="98">
        <f t="shared" si="61"/>
        <v>1642.5207360091524</v>
      </c>
      <c r="S140" s="98">
        <f t="shared" si="61"/>
        <v>5851.129754981409</v>
      </c>
      <c r="T140" s="98">
        <f t="shared" si="61"/>
        <v>4613.6333301554014</v>
      </c>
      <c r="U140" s="98">
        <f t="shared" si="61"/>
        <v>7773.1432929735893</v>
      </c>
      <c r="V140" s="98">
        <f t="shared" si="61"/>
        <v>3904.0899990466196</v>
      </c>
      <c r="W140" s="98">
        <f t="shared" si="49"/>
        <v>145615.34992204831</v>
      </c>
    </row>
    <row r="141" spans="2:23" s="27" customFormat="1">
      <c r="B141" s="483" t="s">
        <v>178</v>
      </c>
      <c r="C141" s="208" t="s">
        <v>184</v>
      </c>
      <c r="D141" s="208">
        <f>D112*$D$85</f>
        <v>124.7064</v>
      </c>
      <c r="E141" s="208">
        <f>E112*$D$85</f>
        <v>1.0920000000000001</v>
      </c>
      <c r="F141" s="208">
        <f>F112*$C$85</f>
        <v>658.32</v>
      </c>
      <c r="G141" s="208">
        <f>G112*$D$85</f>
        <v>378.2688</v>
      </c>
      <c r="H141" s="208">
        <f>H112*$C$85</f>
        <v>659.49</v>
      </c>
      <c r="I141" s="208">
        <f>I112*$C$85</f>
        <v>191.67972169271832</v>
      </c>
      <c r="J141" s="208">
        <f>J112*$C$85</f>
        <v>340.38169811320751</v>
      </c>
      <c r="K141" s="208">
        <f>K112*$C$85</f>
        <v>319.41000000000003</v>
      </c>
      <c r="L141" s="208">
        <f>L112*$D$85</f>
        <v>176.904</v>
      </c>
      <c r="M141" s="208">
        <f>M112*$C$85</f>
        <v>267.54000000000002</v>
      </c>
      <c r="N141" s="208">
        <f>N112*$C$85</f>
        <v>509.14500000000004</v>
      </c>
      <c r="O141" s="208">
        <f>O112*$D$85</f>
        <v>373.02719999999999</v>
      </c>
      <c r="P141" s="208">
        <f>P112*$C$85</f>
        <v>270.66000000000003</v>
      </c>
      <c r="Q141" s="208">
        <f>Q112*$C$85</f>
        <v>475.8</v>
      </c>
      <c r="R141" s="208">
        <f>R112*$D$85</f>
        <v>63.991200000000006</v>
      </c>
      <c r="S141" s="208">
        <f>S112*$C$85</f>
        <v>227.95500000000001</v>
      </c>
      <c r="T141" s="208">
        <f>T112*$D$85</f>
        <v>179.7432</v>
      </c>
      <c r="U141" s="208">
        <f>U112*$C$85</f>
        <v>302.83500000000004</v>
      </c>
      <c r="V141" s="208">
        <f>V112*$C$85</f>
        <v>152.1</v>
      </c>
      <c r="W141" s="208">
        <f t="shared" si="49"/>
        <v>5673.0492198059264</v>
      </c>
    </row>
    <row r="142" spans="2:23" s="27" customFormat="1">
      <c r="B142" s="484"/>
      <c r="C142" s="209" t="s">
        <v>19</v>
      </c>
      <c r="D142" s="208">
        <f t="shared" ref="D142:V142" si="62">D147*$E73</f>
        <v>1931.9846841548288</v>
      </c>
      <c r="E142" s="208">
        <f t="shared" si="62"/>
        <v>16.917554151968726</v>
      </c>
      <c r="F142" s="208">
        <f t="shared" si="62"/>
        <v>10198.868360186863</v>
      </c>
      <c r="G142" s="208">
        <f t="shared" si="62"/>
        <v>5860.2407582419673</v>
      </c>
      <c r="H142" s="208">
        <f t="shared" si="62"/>
        <v>10216.994311063972</v>
      </c>
      <c r="I142" s="208">
        <f t="shared" si="62"/>
        <v>2969.5531790941923</v>
      </c>
      <c r="J142" s="208">
        <f t="shared" si="62"/>
        <v>5273.2837089462091</v>
      </c>
      <c r="K142" s="208">
        <f t="shared" si="62"/>
        <v>4948.384589450854</v>
      </c>
      <c r="L142" s="208">
        <f t="shared" si="62"/>
        <v>2740.6437726189338</v>
      </c>
      <c r="M142" s="208">
        <f t="shared" si="62"/>
        <v>4144.8007672323392</v>
      </c>
      <c r="N142" s="208">
        <f t="shared" si="62"/>
        <v>7887.8096233554188</v>
      </c>
      <c r="O142" s="208">
        <f t="shared" si="62"/>
        <v>5779.0364983125173</v>
      </c>
      <c r="P142" s="208">
        <f t="shared" si="62"/>
        <v>4193.136636237964</v>
      </c>
      <c r="Q142" s="208">
        <f t="shared" si="62"/>
        <v>7371.2200233578033</v>
      </c>
      <c r="R142" s="208">
        <f t="shared" si="62"/>
        <v>991.36867330536768</v>
      </c>
      <c r="S142" s="208">
        <f t="shared" si="62"/>
        <v>3531.5394292234719</v>
      </c>
      <c r="T142" s="208">
        <f t="shared" si="62"/>
        <v>2784.629413414053</v>
      </c>
      <c r="U142" s="208">
        <f t="shared" si="62"/>
        <v>4691.6002853584723</v>
      </c>
      <c r="V142" s="208">
        <f t="shared" si="62"/>
        <v>2356.3736140242158</v>
      </c>
      <c r="W142" s="208">
        <f t="shared" si="49"/>
        <v>87888.385881731389</v>
      </c>
    </row>
    <row r="143" spans="2:23" s="27" customFormat="1">
      <c r="B143" s="484"/>
      <c r="C143" s="209" t="s">
        <v>17</v>
      </c>
      <c r="D143" s="208">
        <f t="shared" ref="D143:V143" si="63">D148*$E74</f>
        <v>0</v>
      </c>
      <c r="E143" s="208">
        <f t="shared" si="63"/>
        <v>0</v>
      </c>
      <c r="F143" s="208">
        <f t="shared" si="63"/>
        <v>0</v>
      </c>
      <c r="G143" s="208">
        <f t="shared" si="63"/>
        <v>0</v>
      </c>
      <c r="H143" s="208">
        <f t="shared" si="63"/>
        <v>0</v>
      </c>
      <c r="I143" s="208">
        <f t="shared" si="63"/>
        <v>0</v>
      </c>
      <c r="J143" s="208">
        <f t="shared" si="63"/>
        <v>0</v>
      </c>
      <c r="K143" s="208">
        <f t="shared" si="63"/>
        <v>0</v>
      </c>
      <c r="L143" s="208">
        <f t="shared" si="63"/>
        <v>0</v>
      </c>
      <c r="M143" s="208">
        <f t="shared" si="63"/>
        <v>0</v>
      </c>
      <c r="N143" s="208">
        <f t="shared" si="63"/>
        <v>0</v>
      </c>
      <c r="O143" s="208">
        <f t="shared" si="63"/>
        <v>0</v>
      </c>
      <c r="P143" s="208">
        <f t="shared" si="63"/>
        <v>0</v>
      </c>
      <c r="Q143" s="208">
        <f t="shared" si="63"/>
        <v>0</v>
      </c>
      <c r="R143" s="208">
        <f t="shared" si="63"/>
        <v>0</v>
      </c>
      <c r="S143" s="208">
        <f t="shared" si="63"/>
        <v>0</v>
      </c>
      <c r="T143" s="208">
        <f t="shared" si="63"/>
        <v>0</v>
      </c>
      <c r="U143" s="208">
        <f t="shared" si="63"/>
        <v>0</v>
      </c>
      <c r="V143" s="208">
        <f t="shared" si="63"/>
        <v>0</v>
      </c>
      <c r="W143" s="208">
        <f t="shared" si="49"/>
        <v>0</v>
      </c>
    </row>
    <row r="144" spans="2:23" s="27" customFormat="1">
      <c r="B144" s="484"/>
      <c r="C144" s="209" t="s">
        <v>189</v>
      </c>
      <c r="D144" s="208">
        <f t="shared" ref="D144:V144" si="64">D149*$E75</f>
        <v>0</v>
      </c>
      <c r="E144" s="208">
        <f t="shared" si="64"/>
        <v>0</v>
      </c>
      <c r="F144" s="208">
        <f t="shared" si="64"/>
        <v>0</v>
      </c>
      <c r="G144" s="208">
        <f t="shared" si="64"/>
        <v>0</v>
      </c>
      <c r="H144" s="208">
        <f t="shared" si="64"/>
        <v>0</v>
      </c>
      <c r="I144" s="208">
        <f t="shared" si="64"/>
        <v>0</v>
      </c>
      <c r="J144" s="208">
        <f t="shared" si="64"/>
        <v>0</v>
      </c>
      <c r="K144" s="208">
        <f t="shared" si="64"/>
        <v>0</v>
      </c>
      <c r="L144" s="208">
        <f t="shared" si="64"/>
        <v>0</v>
      </c>
      <c r="M144" s="208">
        <f t="shared" si="64"/>
        <v>0</v>
      </c>
      <c r="N144" s="208">
        <f t="shared" si="64"/>
        <v>0</v>
      </c>
      <c r="O144" s="208">
        <f t="shared" si="64"/>
        <v>0</v>
      </c>
      <c r="P144" s="208">
        <f t="shared" si="64"/>
        <v>0</v>
      </c>
      <c r="Q144" s="208">
        <f t="shared" si="64"/>
        <v>0</v>
      </c>
      <c r="R144" s="208">
        <f t="shared" si="64"/>
        <v>0</v>
      </c>
      <c r="S144" s="208">
        <f t="shared" si="64"/>
        <v>0</v>
      </c>
      <c r="T144" s="208">
        <f t="shared" si="64"/>
        <v>0</v>
      </c>
      <c r="U144" s="208">
        <f t="shared" si="64"/>
        <v>0</v>
      </c>
      <c r="V144" s="208">
        <f t="shared" si="64"/>
        <v>0</v>
      </c>
      <c r="W144" s="208">
        <f t="shared" si="49"/>
        <v>0</v>
      </c>
    </row>
    <row r="145" spans="2:23" s="27" customFormat="1">
      <c r="B145" s="484"/>
      <c r="C145" s="209" t="s">
        <v>188</v>
      </c>
      <c r="D145" s="208">
        <f t="shared" ref="D145:V145" si="65">D150*$E76</f>
        <v>0</v>
      </c>
      <c r="E145" s="208">
        <f t="shared" si="65"/>
        <v>0</v>
      </c>
      <c r="F145" s="208">
        <f t="shared" si="65"/>
        <v>0</v>
      </c>
      <c r="G145" s="208">
        <f t="shared" si="65"/>
        <v>0</v>
      </c>
      <c r="H145" s="208">
        <f t="shared" si="65"/>
        <v>0</v>
      </c>
      <c r="I145" s="208">
        <f t="shared" si="65"/>
        <v>0</v>
      </c>
      <c r="J145" s="208">
        <f t="shared" si="65"/>
        <v>0</v>
      </c>
      <c r="K145" s="208">
        <f t="shared" si="65"/>
        <v>0</v>
      </c>
      <c r="L145" s="208">
        <f t="shared" si="65"/>
        <v>0</v>
      </c>
      <c r="M145" s="208">
        <f t="shared" si="65"/>
        <v>0</v>
      </c>
      <c r="N145" s="208">
        <f t="shared" si="65"/>
        <v>0</v>
      </c>
      <c r="O145" s="208">
        <f t="shared" si="65"/>
        <v>0</v>
      </c>
      <c r="P145" s="208">
        <f t="shared" si="65"/>
        <v>0</v>
      </c>
      <c r="Q145" s="208">
        <f t="shared" si="65"/>
        <v>0</v>
      </c>
      <c r="R145" s="208">
        <f t="shared" si="65"/>
        <v>0</v>
      </c>
      <c r="S145" s="208">
        <f t="shared" si="65"/>
        <v>0</v>
      </c>
      <c r="T145" s="208">
        <f t="shared" si="65"/>
        <v>0</v>
      </c>
      <c r="U145" s="208">
        <f t="shared" si="65"/>
        <v>0</v>
      </c>
      <c r="V145" s="208">
        <f t="shared" si="65"/>
        <v>0</v>
      </c>
      <c r="W145" s="208">
        <f t="shared" si="49"/>
        <v>0</v>
      </c>
    </row>
    <row r="146" spans="2:23" s="27" customFormat="1">
      <c r="B146" s="484"/>
      <c r="C146" s="209" t="s">
        <v>2</v>
      </c>
      <c r="D146" s="208">
        <f t="shared" ref="D146:V146" si="66">D151*$E77</f>
        <v>0</v>
      </c>
      <c r="E146" s="208">
        <f t="shared" si="66"/>
        <v>0</v>
      </c>
      <c r="F146" s="208">
        <f t="shared" si="66"/>
        <v>0</v>
      </c>
      <c r="G146" s="208">
        <f t="shared" si="66"/>
        <v>0</v>
      </c>
      <c r="H146" s="208">
        <f t="shared" si="66"/>
        <v>0</v>
      </c>
      <c r="I146" s="208">
        <f t="shared" si="66"/>
        <v>0</v>
      </c>
      <c r="J146" s="208">
        <f t="shared" si="66"/>
        <v>0</v>
      </c>
      <c r="K146" s="208">
        <f t="shared" si="66"/>
        <v>0</v>
      </c>
      <c r="L146" s="208">
        <f t="shared" si="66"/>
        <v>0</v>
      </c>
      <c r="M146" s="208">
        <f t="shared" si="66"/>
        <v>0</v>
      </c>
      <c r="N146" s="208">
        <f t="shared" si="66"/>
        <v>0</v>
      </c>
      <c r="O146" s="208">
        <f t="shared" si="66"/>
        <v>0</v>
      </c>
      <c r="P146" s="208">
        <f t="shared" si="66"/>
        <v>0</v>
      </c>
      <c r="Q146" s="208">
        <f t="shared" si="66"/>
        <v>0</v>
      </c>
      <c r="R146" s="208">
        <f t="shared" si="66"/>
        <v>0</v>
      </c>
      <c r="S146" s="208">
        <f t="shared" si="66"/>
        <v>0</v>
      </c>
      <c r="T146" s="208">
        <f t="shared" si="66"/>
        <v>0</v>
      </c>
      <c r="U146" s="208">
        <f t="shared" si="66"/>
        <v>0</v>
      </c>
      <c r="V146" s="208">
        <f t="shared" si="66"/>
        <v>0</v>
      </c>
      <c r="W146" s="208">
        <f t="shared" si="49"/>
        <v>0</v>
      </c>
    </row>
    <row r="147" spans="2:23" s="205" customFormat="1">
      <c r="B147" s="485"/>
      <c r="C147" s="207" t="s">
        <v>187</v>
      </c>
      <c r="D147" s="206">
        <f t="shared" ref="D147:V147" si="67">$C$96*(D141/$C$104)*1000000</f>
        <v>1932.0040041948705</v>
      </c>
      <c r="E147" s="206">
        <f t="shared" si="67"/>
        <v>16.917723329202019</v>
      </c>
      <c r="F147" s="206">
        <f t="shared" si="67"/>
        <v>10198.970349890362</v>
      </c>
      <c r="G147" s="206">
        <f t="shared" si="67"/>
        <v>5860.2993612355795</v>
      </c>
      <c r="H147" s="206">
        <f t="shared" si="67"/>
        <v>10217.096482028792</v>
      </c>
      <c r="I147" s="206">
        <f t="shared" si="67"/>
        <v>2969.5828749229413</v>
      </c>
      <c r="J147" s="206">
        <f t="shared" si="67"/>
        <v>5273.3364423106323</v>
      </c>
      <c r="K147" s="206">
        <f t="shared" si="67"/>
        <v>4948.4340737915918</v>
      </c>
      <c r="L147" s="206">
        <f t="shared" si="67"/>
        <v>2740.6711793307268</v>
      </c>
      <c r="M147" s="206">
        <f t="shared" si="67"/>
        <v>4144.8422156544957</v>
      </c>
      <c r="N147" s="206">
        <f t="shared" si="67"/>
        <v>7887.8885022404411</v>
      </c>
      <c r="O147" s="206">
        <f t="shared" si="67"/>
        <v>5779.0942892554094</v>
      </c>
      <c r="P147" s="206">
        <f t="shared" si="67"/>
        <v>4193.1785680236444</v>
      </c>
      <c r="Q147" s="206">
        <f t="shared" si="67"/>
        <v>7371.2937362951661</v>
      </c>
      <c r="R147" s="206">
        <f t="shared" si="67"/>
        <v>991.3785870912385</v>
      </c>
      <c r="S147" s="206">
        <f t="shared" si="67"/>
        <v>3531.5747449709215</v>
      </c>
      <c r="T147" s="206">
        <f t="shared" si="67"/>
        <v>2784.6572599866527</v>
      </c>
      <c r="U147" s="206">
        <f t="shared" si="67"/>
        <v>4691.6472018304903</v>
      </c>
      <c r="V147" s="206">
        <f t="shared" si="67"/>
        <v>2356.3971779959957</v>
      </c>
      <c r="W147" s="206">
        <f t="shared" si="49"/>
        <v>87889.264774379146</v>
      </c>
    </row>
    <row r="148" spans="2:23">
      <c r="D148" s="204"/>
    </row>
  </sheetData>
  <mergeCells count="38">
    <mergeCell ref="K107:P108"/>
    <mergeCell ref="J7:O7"/>
    <mergeCell ref="B113:B114"/>
    <mergeCell ref="G82:H82"/>
    <mergeCell ref="G83:H83"/>
    <mergeCell ref="G84:H84"/>
    <mergeCell ref="G85:H88"/>
    <mergeCell ref="B50:B51"/>
    <mergeCell ref="B108:F108"/>
    <mergeCell ref="E103:G105"/>
    <mergeCell ref="B55:B59"/>
    <mergeCell ref="B60:B62"/>
    <mergeCell ref="I108:J108"/>
    <mergeCell ref="I107:J107"/>
    <mergeCell ref="A68:H68"/>
    <mergeCell ref="B127:B133"/>
    <mergeCell ref="B134:B140"/>
    <mergeCell ref="B141:B147"/>
    <mergeCell ref="AB31:AU31"/>
    <mergeCell ref="D31:G31"/>
    <mergeCell ref="B31:C31"/>
    <mergeCell ref="B63:B65"/>
    <mergeCell ref="F56:F57"/>
    <mergeCell ref="C81:D81"/>
    <mergeCell ref="G81:H81"/>
    <mergeCell ref="B52:B53"/>
    <mergeCell ref="F94:I99"/>
    <mergeCell ref="F93:I93"/>
    <mergeCell ref="E81:F81"/>
    <mergeCell ref="C71:F71"/>
    <mergeCell ref="B120:B126"/>
    <mergeCell ref="A2:H2"/>
    <mergeCell ref="B35:B39"/>
    <mergeCell ref="B40:B42"/>
    <mergeCell ref="B44:B49"/>
    <mergeCell ref="H31:AA31"/>
    <mergeCell ref="B30:H30"/>
    <mergeCell ref="F35:F39"/>
  </mergeCells>
  <conditionalFormatting sqref="I8:I27">
    <cfRule type="dataBar" priority="1">
      <dataBar>
        <cfvo type="min"/>
        <cfvo type="max"/>
        <color rgb="FF63C384"/>
      </dataBar>
      <extLst>
        <ext xmlns:x14="http://schemas.microsoft.com/office/spreadsheetml/2009/9/main" uri="{B025F937-C7B1-47D3-B67F-A62EFF666E3E}">
          <x14:id>{3C2B6454-1C58-49CE-A12C-B99AFE16CA7C}</x14:id>
        </ext>
      </extLst>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3C2B6454-1C58-49CE-A12C-B99AFE16CA7C}">
            <x14:dataBar minLength="0" maxLength="100" border="1" negativeBarBorderColorSameAsPositive="0">
              <x14:cfvo type="autoMin"/>
              <x14:cfvo type="autoMax"/>
              <x14:borderColor rgb="FF63C384"/>
              <x14:negativeFillColor rgb="FFFF0000"/>
              <x14:negativeBorderColor rgb="FFFF0000"/>
              <x14:axisColor rgb="FF000000"/>
            </x14:dataBar>
          </x14:cfRule>
          <xm:sqref>I8:I27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3:D11"/>
  <sheetViews>
    <sheetView topLeftCell="B1" workbookViewId="0">
      <selection activeCell="C11" sqref="C11"/>
    </sheetView>
  </sheetViews>
  <sheetFormatPr defaultRowHeight="15"/>
  <cols>
    <col min="1" max="1" width="22.140625" style="101" customWidth="1"/>
    <col min="2" max="2" width="47.7109375" style="101" customWidth="1"/>
    <col min="3" max="3" width="96.7109375" style="101" customWidth="1"/>
    <col min="4" max="16384" width="9.140625" style="101"/>
  </cols>
  <sheetData>
    <row r="3" spans="2:4">
      <c r="B3" s="165" t="s">
        <v>172</v>
      </c>
      <c r="C3" s="165" t="s">
        <v>173</v>
      </c>
      <c r="D3" s="101" t="s">
        <v>327</v>
      </c>
    </row>
    <row r="4" spans="2:4" ht="30">
      <c r="B4" s="101" t="s">
        <v>167</v>
      </c>
      <c r="C4" s="102" t="s">
        <v>174</v>
      </c>
      <c r="D4" s="101" t="s">
        <v>328</v>
      </c>
    </row>
    <row r="5" spans="2:4">
      <c r="B5" s="101" t="s">
        <v>150</v>
      </c>
      <c r="C5" s="101" t="s">
        <v>175</v>
      </c>
      <c r="D5" s="101" t="s">
        <v>329</v>
      </c>
    </row>
    <row r="6" spans="2:4" ht="60">
      <c r="B6" s="101" t="s">
        <v>479</v>
      </c>
      <c r="C6" s="102" t="s">
        <v>480</v>
      </c>
      <c r="D6" s="101" t="s">
        <v>330</v>
      </c>
    </row>
    <row r="7" spans="2:4" ht="75">
      <c r="B7" s="101" t="s">
        <v>139</v>
      </c>
      <c r="C7" s="102" t="s">
        <v>176</v>
      </c>
      <c r="D7" s="318" t="s">
        <v>331</v>
      </c>
    </row>
    <row r="8" spans="2:4">
      <c r="D8" s="101" t="s">
        <v>332</v>
      </c>
    </row>
    <row r="11" spans="2:4" ht="135">
      <c r="B11" s="102" t="s">
        <v>481</v>
      </c>
      <c r="C11" s="407" t="s">
        <v>482</v>
      </c>
    </row>
  </sheetData>
  <hyperlinks>
    <hyperlink ref="D7" r:id="rId1"/>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65"/>
  <sheetViews>
    <sheetView topLeftCell="A13" zoomScale="60" zoomScaleNormal="60" workbookViewId="0">
      <selection activeCell="I53" sqref="I53"/>
    </sheetView>
  </sheetViews>
  <sheetFormatPr defaultRowHeight="15"/>
  <cols>
    <col min="1" max="1" width="42.5703125" customWidth="1"/>
    <col min="2" max="2" width="24.85546875" customWidth="1"/>
    <col min="3" max="3" width="22" customWidth="1"/>
    <col min="4" max="4" width="26.5703125" customWidth="1"/>
    <col min="6" max="6" width="16.5703125" customWidth="1"/>
  </cols>
  <sheetData>
    <row r="1" spans="1:16" ht="18">
      <c r="A1" s="1" t="s">
        <v>156</v>
      </c>
    </row>
    <row r="3" spans="1:16" ht="14.25" customHeight="1">
      <c r="A3" s="521"/>
      <c r="B3" s="521"/>
      <c r="C3" s="521"/>
      <c r="D3" s="521"/>
      <c r="G3" s="28"/>
      <c r="H3" s="28"/>
      <c r="I3" s="28"/>
      <c r="J3" s="28"/>
      <c r="K3" s="28"/>
      <c r="L3" s="28"/>
      <c r="M3" s="28"/>
      <c r="N3" s="28"/>
      <c r="O3" s="28"/>
      <c r="P3" s="28"/>
    </row>
    <row r="4" spans="1:16">
      <c r="A4" s="2" t="s">
        <v>147</v>
      </c>
      <c r="B4">
        <f>'C&amp;I Calculations and References'!AQ168*1000</f>
        <v>124098</v>
      </c>
    </row>
    <row r="6" spans="1:16">
      <c r="A6" s="100" t="s">
        <v>105</v>
      </c>
      <c r="B6" s="100" t="s">
        <v>0</v>
      </c>
      <c r="E6" s="3"/>
    </row>
    <row r="7" spans="1:16">
      <c r="A7" s="92" t="s">
        <v>104</v>
      </c>
      <c r="B7" s="93">
        <f>'C&amp;I Calculations and References'!C72</f>
        <v>776436439</v>
      </c>
    </row>
    <row r="8" spans="1:16">
      <c r="A8" s="92" t="s">
        <v>112</v>
      </c>
      <c r="B8" s="93">
        <f>'C&amp;I Calculations and References'!G72</f>
        <v>36745856</v>
      </c>
    </row>
    <row r="9" spans="1:16">
      <c r="A9" s="92" t="s">
        <v>103</v>
      </c>
      <c r="B9" s="93">
        <f>'C&amp;I Calculations and References'!E47</f>
        <v>491266.37554585148</v>
      </c>
    </row>
    <row r="10" spans="1:16">
      <c r="A10" s="92" t="s">
        <v>123</v>
      </c>
      <c r="B10" s="93">
        <f>'C&amp;I Calculations and References'!C47</f>
        <v>3473227.206946454</v>
      </c>
    </row>
    <row r="11" spans="1:16">
      <c r="A11" s="92" t="s">
        <v>124</v>
      </c>
      <c r="B11" s="93">
        <f>'C&amp;I Calculations and References'!D47</f>
        <v>732064.42166910693</v>
      </c>
    </row>
    <row r="12" spans="1:16">
      <c r="A12" s="92" t="s">
        <v>133</v>
      </c>
      <c r="B12" s="93">
        <f>'C&amp;I Calculations and References'!J45</f>
        <v>525000</v>
      </c>
    </row>
    <row r="13" spans="1:16">
      <c r="B13" s="40"/>
      <c r="C13" s="27"/>
      <c r="D13" s="27"/>
    </row>
    <row r="14" spans="1:16">
      <c r="B14" s="40"/>
      <c r="C14" s="27"/>
      <c r="D14" s="27"/>
    </row>
    <row r="15" spans="1:16">
      <c r="C15" s="27"/>
      <c r="D15" s="27"/>
    </row>
    <row r="17" spans="1:4">
      <c r="A17" s="106" t="str">
        <f>'C&amp;I Building Type &amp; End Use'!A1</f>
        <v>Electric (kWh) 2009</v>
      </c>
      <c r="B17" s="107" t="s">
        <v>137</v>
      </c>
      <c r="C17" s="107" t="s">
        <v>144</v>
      </c>
      <c r="D17" s="107" t="s">
        <v>140</v>
      </c>
    </row>
    <row r="18" spans="1:4">
      <c r="A18" s="92" t="str">
        <f>'C&amp;I Building Type &amp; End Use'!A4</f>
        <v>Indoor Lighting</v>
      </c>
      <c r="B18" s="94">
        <f>'C&amp;I Building Type &amp; End Use'!B4</f>
        <v>248695049.99182948</v>
      </c>
      <c r="C18" s="108">
        <f t="shared" ref="C18:C27" si="0">B18/$B$28</f>
        <v>0.32030316649245955</v>
      </c>
      <c r="D18" s="109">
        <f t="shared" ref="D18:D27" si="1">B18/$B$4</f>
        <v>2004.021418490463</v>
      </c>
    </row>
    <row r="19" spans="1:4">
      <c r="A19" s="92" t="str">
        <f>'C&amp;I Building Type &amp; End Use'!A5</f>
        <v>Outdoor Lighting</v>
      </c>
      <c r="B19" s="94">
        <f>'C&amp;I Building Type &amp; End Use'!B5</f>
        <v>28014715.791926011</v>
      </c>
      <c r="C19" s="108">
        <f t="shared" si="0"/>
        <v>3.6081145068367924E-2</v>
      </c>
      <c r="D19" s="109">
        <f t="shared" si="1"/>
        <v>225.74671462816494</v>
      </c>
    </row>
    <row r="20" spans="1:4">
      <c r="A20" s="92" t="str">
        <f>'C&amp;I Building Type &amp; End Use'!A6</f>
        <v>Cooling</v>
      </c>
      <c r="B20" s="94">
        <f>'C&amp;I Building Type &amp; End Use'!B6</f>
        <v>48796470.651636153</v>
      </c>
      <c r="C20" s="108">
        <f t="shared" si="0"/>
        <v>6.2846703478372096E-2</v>
      </c>
      <c r="D20" s="109">
        <f t="shared" si="1"/>
        <v>393.20916252990503</v>
      </c>
    </row>
    <row r="21" spans="1:4">
      <c r="A21" s="92" t="str">
        <f>'C&amp;I Building Type &amp; End Use'!A7</f>
        <v>Ventilation</v>
      </c>
      <c r="B21" s="94">
        <f>'C&amp;I Building Type &amp; End Use'!B7</f>
        <v>108115739.77615055</v>
      </c>
      <c r="C21" s="108">
        <f t="shared" si="0"/>
        <v>0.13924609194719997</v>
      </c>
      <c r="D21" s="109">
        <f t="shared" si="1"/>
        <v>871.21258824598749</v>
      </c>
    </row>
    <row r="22" spans="1:4">
      <c r="A22" s="92" t="str">
        <f>'C&amp;I Building Type &amp; End Use'!A8</f>
        <v>Water Heating</v>
      </c>
      <c r="B22" s="94">
        <f>'C&amp;I Building Type &amp; End Use'!B8</f>
        <v>42075240.577081755</v>
      </c>
      <c r="C22" s="108">
        <f t="shared" si="0"/>
        <v>5.419019312291929E-2</v>
      </c>
      <c r="D22" s="109">
        <f t="shared" si="1"/>
        <v>339.04849858242483</v>
      </c>
    </row>
    <row r="23" spans="1:4">
      <c r="A23" s="92" t="str">
        <f>'C&amp;I Building Type &amp; End Use'!A9</f>
        <v>Refrigeration</v>
      </c>
      <c r="B23" s="94">
        <f>'C&amp;I Building Type &amp; End Use'!B9</f>
        <v>104979008.93951298</v>
      </c>
      <c r="C23" s="108">
        <f t="shared" si="0"/>
        <v>0.13520618516400279</v>
      </c>
      <c r="D23" s="109">
        <f t="shared" si="1"/>
        <v>845.93634820474938</v>
      </c>
    </row>
    <row r="24" spans="1:4">
      <c r="A24" s="92" t="str">
        <f>'C&amp;I Building Type &amp; End Use'!A10</f>
        <v>Space Heating</v>
      </c>
      <c r="B24" s="94">
        <f>'C&amp;I Building Type &amp; End Use'!B10</f>
        <v>16519497.598554919</v>
      </c>
      <c r="C24" s="108">
        <f t="shared" si="0"/>
        <v>2.1276046265720036E-2</v>
      </c>
      <c r="D24" s="109">
        <f t="shared" si="1"/>
        <v>133.1165498118819</v>
      </c>
    </row>
    <row r="25" spans="1:4">
      <c r="A25" s="92" t="str">
        <f>'C&amp;I Building Type &amp; End Use'!A11</f>
        <v>Office Equipment</v>
      </c>
      <c r="B25" s="94">
        <f>'C&amp;I Building Type &amp; End Use'!B11</f>
        <v>30872434.023940433</v>
      </c>
      <c r="C25" s="108">
        <f t="shared" si="0"/>
        <v>3.9761701632270281E-2</v>
      </c>
      <c r="D25" s="109">
        <f t="shared" si="1"/>
        <v>248.77462992103364</v>
      </c>
    </row>
    <row r="26" spans="1:4">
      <c r="A26" s="92" t="str">
        <f>'C&amp;I Building Type &amp; End Use'!A12</f>
        <v>Miscellaneous</v>
      </c>
      <c r="B26" s="94">
        <f>'C&amp;I Building Type &amp; End Use'!B12</f>
        <v>57071555.365034096</v>
      </c>
      <c r="C26" s="108">
        <f t="shared" si="0"/>
        <v>7.3504478278400426E-2</v>
      </c>
      <c r="D26" s="109">
        <f t="shared" si="1"/>
        <v>459.89101649530289</v>
      </c>
    </row>
    <row r="27" spans="1:4">
      <c r="A27" s="92" t="str">
        <f>'C&amp;I Building Type &amp; End Use'!A14</f>
        <v>Industrial Process</v>
      </c>
      <c r="B27" s="94">
        <f>'C&amp;I Building Type &amp; End Use'!B14</f>
        <v>91296726.284333706</v>
      </c>
      <c r="C27" s="108">
        <f t="shared" si="0"/>
        <v>0.11758428855028748</v>
      </c>
      <c r="D27" s="109">
        <f t="shared" si="1"/>
        <v>735.6824951597423</v>
      </c>
    </row>
    <row r="28" spans="1:4">
      <c r="A28" s="97" t="str">
        <f>'C&amp;I Building Type &amp; End Use'!A15</f>
        <v>Total</v>
      </c>
      <c r="B28" s="98">
        <f>'C&amp;I Building Type &amp; End Use'!B15</f>
        <v>776436439.00000024</v>
      </c>
      <c r="C28" s="137"/>
      <c r="D28" s="138"/>
    </row>
    <row r="31" spans="1:4">
      <c r="A31" s="106" t="str">
        <f>'C&amp;I Building Type &amp; End Use'!A17</f>
        <v>Natural Gas (therms) 2010</v>
      </c>
      <c r="B31" s="107" t="s">
        <v>137</v>
      </c>
      <c r="C31" s="107" t="s">
        <v>144</v>
      </c>
      <c r="D31" s="107" t="s">
        <v>140</v>
      </c>
    </row>
    <row r="32" spans="1:4">
      <c r="A32" s="92" t="str">
        <f>'C&amp;I Building Type &amp; End Use'!A24</f>
        <v>Water Heating</v>
      </c>
      <c r="B32" s="94">
        <f>'C&amp;I Building Type &amp; End Use'!B24</f>
        <v>5174936.2979432959</v>
      </c>
      <c r="C32" s="108">
        <f>B32/$B$37</f>
        <v>0.1408304734537493</v>
      </c>
      <c r="D32" s="109">
        <f t="shared" ref="D32:D36" si="2">B32/$B$4</f>
        <v>41.700400473362151</v>
      </c>
    </row>
    <row r="33" spans="1:4">
      <c r="A33" s="92" t="str">
        <f>'C&amp;I Building Type &amp; End Use'!A26</f>
        <v>Space Heating</v>
      </c>
      <c r="B33" s="94">
        <f>'C&amp;I Building Type &amp; End Use'!B26</f>
        <v>24361239.739376027</v>
      </c>
      <c r="C33" s="108">
        <f>B33/$B$37</f>
        <v>0.66296563452967383</v>
      </c>
      <c r="D33" s="109">
        <f t="shared" si="2"/>
        <v>196.30646536911172</v>
      </c>
    </row>
    <row r="34" spans="1:4">
      <c r="A34" s="92" t="str">
        <f>'C&amp;I Building Type &amp; End Use'!A28</f>
        <v>Miscellaneous</v>
      </c>
      <c r="B34" s="94">
        <f>'C&amp;I Building Type &amp; End Use'!B28</f>
        <v>3051181.9098622869</v>
      </c>
      <c r="C34" s="108">
        <f>B34/$B$37</f>
        <v>8.3034721244819726E-2</v>
      </c>
      <c r="D34" s="109">
        <f t="shared" si="2"/>
        <v>24.586874162857473</v>
      </c>
    </row>
    <row r="35" spans="1:4">
      <c r="A35" s="92" t="str">
        <f>'C&amp;I Building Type &amp; End Use'!A29</f>
        <v>Cooking</v>
      </c>
      <c r="B35" s="94">
        <f>'C&amp;I Building Type &amp; End Use'!B29</f>
        <v>1480993.7573517244</v>
      </c>
      <c r="C35" s="108">
        <f>B35/$B$37</f>
        <v>4.0303694581280788E-2</v>
      </c>
      <c r="D35" s="109">
        <f t="shared" si="2"/>
        <v>11.9340662810982</v>
      </c>
    </row>
    <row r="36" spans="1:4">
      <c r="A36" s="92" t="str">
        <f>'C&amp;I Building Type &amp; End Use'!A30</f>
        <v>Industrial Process</v>
      </c>
      <c r="B36" s="94">
        <f>'C&amp;I Building Type &amp; End Use'!B30</f>
        <v>2677504.2954666675</v>
      </c>
      <c r="C36" s="108">
        <f>B36/$B$37</f>
        <v>7.2865476190476203E-2</v>
      </c>
      <c r="D36" s="109">
        <f t="shared" si="2"/>
        <v>21.57572479384573</v>
      </c>
    </row>
    <row r="37" spans="1:4">
      <c r="A37" s="97" t="str">
        <f>'C&amp;I Building Type &amp; End Use'!A31</f>
        <v>Total</v>
      </c>
      <c r="B37" s="98">
        <f>'C&amp;I Building Type &amp; End Use'!B31</f>
        <v>36745856.000000007</v>
      </c>
      <c r="C37" s="137"/>
      <c r="D37" s="138"/>
    </row>
    <row r="38" spans="1:4">
      <c r="A38" s="4"/>
      <c r="B38" s="5"/>
      <c r="C38" s="4"/>
    </row>
    <row r="39" spans="1:4">
      <c r="A39" s="4"/>
      <c r="B39" s="4"/>
      <c r="C39" s="4"/>
    </row>
    <row r="40" spans="1:4">
      <c r="A40" s="106" t="str">
        <f>'C&amp;I Building Type &amp; End Use'!A33</f>
        <v>Oil &amp; Kerosene (gallons) 2009</v>
      </c>
      <c r="B40" s="107" t="s">
        <v>137</v>
      </c>
      <c r="C40" s="107" t="s">
        <v>144</v>
      </c>
      <c r="D40" s="107" t="s">
        <v>140</v>
      </c>
    </row>
    <row r="41" spans="1:4">
      <c r="A41" s="95" t="str">
        <f>'C&amp;I Building Type &amp; End Use'!A40</f>
        <v>Water Heating</v>
      </c>
      <c r="B41" s="95">
        <f>'C&amp;I Building Type &amp; End Use'!B40</f>
        <v>574065.39407236769</v>
      </c>
      <c r="C41" s="105">
        <f>B41/$B$44</f>
        <v>0.13651024584503257</v>
      </c>
      <c r="D41" s="99">
        <f>B41/$B$4</f>
        <v>4.6259036734868229</v>
      </c>
    </row>
    <row r="42" spans="1:4">
      <c r="A42" s="95" t="str">
        <f>'C&amp;I Building Type &amp; End Use'!A42</f>
        <v>Space Heating</v>
      </c>
      <c r="B42" s="95">
        <f>'C&amp;I Building Type &amp; End Use'!B42+'C&amp;I Calculations and References'!D39</f>
        <v>3378147.8801913224</v>
      </c>
      <c r="C42" s="105">
        <f>B42/$B$44</f>
        <v>0.80330882576708584</v>
      </c>
      <c r="D42" s="99">
        <f>B42/$B$4</f>
        <v>27.221614209667539</v>
      </c>
    </row>
    <row r="43" spans="1:4">
      <c r="A43" s="95" t="str">
        <f>'C&amp;I Building Type &amp; End Use'!A46</f>
        <v>Industrial Process</v>
      </c>
      <c r="B43" s="95">
        <f>'C&amp;I Building Type &amp; End Use'!B46</f>
        <v>253078.35435187104</v>
      </c>
      <c r="C43" s="105">
        <f>B43/$B$44</f>
        <v>6.0180928387881596E-2</v>
      </c>
      <c r="D43" s="99">
        <f>B43/$B$4</f>
        <v>2.0393427319688557</v>
      </c>
    </row>
    <row r="44" spans="1:4">
      <c r="A44" s="97" t="str">
        <f>'C&amp;I Building Type &amp; End Use'!A47</f>
        <v>Total</v>
      </c>
      <c r="B44" s="98">
        <f>SUM(B41:B43)</f>
        <v>4205291.6286155609</v>
      </c>
      <c r="C44" s="137"/>
      <c r="D44" s="138"/>
    </row>
    <row r="45" spans="1:4">
      <c r="A45" s="23"/>
      <c r="B45" s="23"/>
    </row>
    <row r="46" spans="1:4">
      <c r="A46" s="106" t="str">
        <f>'C&amp;I Building Type &amp; End Use'!A49</f>
        <v>Propane (gallons) 2009</v>
      </c>
      <c r="B46" s="107" t="s">
        <v>137</v>
      </c>
      <c r="C46" s="107" t="s">
        <v>144</v>
      </c>
      <c r="D46" s="107" t="s">
        <v>140</v>
      </c>
    </row>
    <row r="47" spans="1:4">
      <c r="A47" s="95" t="str">
        <f>'C&amp;I Building Type &amp; End Use'!A56</f>
        <v>Water Heating</v>
      </c>
      <c r="B47" s="95">
        <f>'C&amp;I Building Type &amp; End Use'!B56</f>
        <v>69185.276260029685</v>
      </c>
      <c r="C47" s="105">
        <f>B47/$B$52</f>
        <v>0.1408304734537493</v>
      </c>
      <c r="D47" s="110">
        <f>B47/$B$4</f>
        <v>0.55750516736796474</v>
      </c>
    </row>
    <row r="48" spans="1:4">
      <c r="A48" s="95" t="str">
        <f>'C&amp;I Building Type &amp; End Use'!A58</f>
        <v>Space Heating</v>
      </c>
      <c r="B48" s="95">
        <f>'C&amp;I Building Type &amp; End Use'!B58</f>
        <v>325692.72438684857</v>
      </c>
      <c r="C48" s="105">
        <f>B48/$B$52</f>
        <v>0.66296563452967394</v>
      </c>
      <c r="D48" s="110">
        <f>B48/$B$4</f>
        <v>2.6244800430856947</v>
      </c>
    </row>
    <row r="49" spans="1:6">
      <c r="A49" s="95" t="str">
        <f>'C&amp;I Building Type &amp; End Use'!A60</f>
        <v>Miscellaneous</v>
      </c>
      <c r="B49" s="95">
        <f>'C&amp;I Building Type &amp; End Use'!B60</f>
        <v>40792.166550402711</v>
      </c>
      <c r="C49" s="105">
        <f>B49/$B$52</f>
        <v>8.303472124481974E-2</v>
      </c>
      <c r="D49" s="110">
        <f>B49/$B$4</f>
        <v>0.32870929870266008</v>
      </c>
    </row>
    <row r="50" spans="1:6">
      <c r="A50" s="95" t="str">
        <f>'C&amp;I Building Type &amp; End Use'!A61</f>
        <v>Cooking</v>
      </c>
      <c r="B50" s="95">
        <f>'C&amp;I Building Type &amp; End Use'!B61</f>
        <v>19799.84995805279</v>
      </c>
      <c r="C50" s="105">
        <f>B50/$B$52</f>
        <v>4.0303694581280788E-2</v>
      </c>
      <c r="D50" s="110">
        <f>B50/$B$4</f>
        <v>0.15955011328186425</v>
      </c>
    </row>
    <row r="51" spans="1:6">
      <c r="A51" s="95" t="str">
        <f>'C&amp;I Building Type &amp; End Use'!A62</f>
        <v>Industrial Process</v>
      </c>
      <c r="B51" s="95">
        <f>'C&amp;I Building Type &amp; End Use'!B62</f>
        <v>35796.358390517787</v>
      </c>
      <c r="C51" s="105">
        <f>B51/$B$52</f>
        <v>7.2865476190476203E-2</v>
      </c>
      <c r="D51" s="110">
        <f>B51/$B$4</f>
        <v>0.28845233920383717</v>
      </c>
    </row>
    <row r="52" spans="1:6">
      <c r="A52" s="96" t="str">
        <f>'C&amp;I Building Type &amp; End Use'!A63</f>
        <v>Total</v>
      </c>
      <c r="B52" s="96">
        <f>'C&amp;I Building Type &amp; End Use'!B63</f>
        <v>491266.37554585154</v>
      </c>
      <c r="C52" s="42"/>
    </row>
    <row r="54" spans="1:6">
      <c r="A54" s="106" t="s">
        <v>133</v>
      </c>
      <c r="B54" s="107" t="s">
        <v>137</v>
      </c>
      <c r="C54" s="107" t="s">
        <v>144</v>
      </c>
      <c r="D54" s="107" t="s">
        <v>140</v>
      </c>
    </row>
    <row r="55" spans="1:6">
      <c r="A55" s="92" t="s">
        <v>138</v>
      </c>
      <c r="B55" s="99">
        <f>B12</f>
        <v>525000</v>
      </c>
      <c r="C55" s="105">
        <v>1</v>
      </c>
      <c r="D55" s="99">
        <f>B55/$B$4</f>
        <v>4.2305274863414395</v>
      </c>
    </row>
    <row r="60" spans="1:6">
      <c r="A60" s="97" t="s">
        <v>151</v>
      </c>
      <c r="B60" s="97" t="s">
        <v>152</v>
      </c>
      <c r="C60" s="97" t="s">
        <v>125</v>
      </c>
      <c r="D60" s="97" t="s">
        <v>153</v>
      </c>
      <c r="E60" s="320"/>
    </row>
    <row r="61" spans="1:6">
      <c r="A61" s="92" t="str">
        <f>A17</f>
        <v>Electric (kWh) 2009</v>
      </c>
      <c r="B61" s="99">
        <f>B28</f>
        <v>776436439.00000024</v>
      </c>
      <c r="C61" s="99">
        <f>B61*3412/1000000</f>
        <v>2649201.1298680007</v>
      </c>
      <c r="D61" s="99">
        <f>C61/$B$4</f>
        <v>21.347653708101667</v>
      </c>
    </row>
    <row r="62" spans="1:6">
      <c r="A62" s="92" t="str">
        <f>A31</f>
        <v>Natural Gas (therms) 2010</v>
      </c>
      <c r="B62" s="99">
        <f>B37</f>
        <v>36745856.000000007</v>
      </c>
      <c r="C62" s="99">
        <f>(B62*100000)/1000000</f>
        <v>3674585.600000001</v>
      </c>
      <c r="D62" s="99">
        <f t="shared" ref="D62:D65" si="3">C62/$B$4</f>
        <v>29.610353108027535</v>
      </c>
    </row>
    <row r="63" spans="1:6">
      <c r="A63" s="92" t="str">
        <f>A40</f>
        <v>Oil &amp; Kerosene (gallons) 2009</v>
      </c>
      <c r="B63" s="95">
        <f>B44</f>
        <v>4205291.6286155609</v>
      </c>
      <c r="C63" s="99">
        <f>B63*138200/1000000</f>
        <v>581171.30307467049</v>
      </c>
      <c r="D63" s="99">
        <f t="shared" si="3"/>
        <v>4.6831641370100279</v>
      </c>
      <c r="F63" s="23"/>
    </row>
    <row r="64" spans="1:6">
      <c r="A64" s="92" t="str">
        <f>A46</f>
        <v>Propane (gallons) 2009</v>
      </c>
      <c r="B64" s="95">
        <f>B52</f>
        <v>491266.37554585154</v>
      </c>
      <c r="C64" s="99">
        <f>B64*91600/1000000</f>
        <v>45000</v>
      </c>
      <c r="D64" s="110">
        <f t="shared" si="3"/>
        <v>0.36261664168640911</v>
      </c>
    </row>
    <row r="65" spans="1:4">
      <c r="A65" s="92" t="str">
        <f>A54</f>
        <v>Wood and Wood Waste (MMBTU)</v>
      </c>
      <c r="B65" s="99">
        <f>B55</f>
        <v>525000</v>
      </c>
      <c r="C65" s="99">
        <f>B65</f>
        <v>525000</v>
      </c>
      <c r="D65" s="99">
        <f t="shared" si="3"/>
        <v>4.2305274863414395</v>
      </c>
    </row>
  </sheetData>
  <mergeCells count="1">
    <mergeCell ref="A3:D3"/>
  </mergeCells>
  <pageMargins left="0.7" right="0.7" top="0.75" bottom="0.75" header="0.3" footer="0.3"/>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Table of Contents</vt:lpstr>
      <vt:lpstr>Town  Energy (C&amp;I and RES)</vt:lpstr>
      <vt:lpstr>RES Kerosene</vt:lpstr>
      <vt:lpstr>RES Method and References</vt:lpstr>
      <vt:lpstr>Residential Summary</vt:lpstr>
      <vt:lpstr>Residential Detailed</vt:lpstr>
      <vt:lpstr>RES Calculations &amp; References </vt:lpstr>
      <vt:lpstr>C&amp;I Method and References</vt:lpstr>
      <vt:lpstr>C&amp;I Building Summary</vt:lpstr>
      <vt:lpstr>C&amp;I Building Type &amp; End Use</vt:lpstr>
      <vt:lpstr>C&amp;I Calculations and References</vt:lpstr>
      <vt:lpstr>C&amp;I Chittenden</vt:lpstr>
      <vt:lpstr>Energy Economic Report Values</vt:lpstr>
      <vt:lpstr>Residential Summary 2</vt:lpstr>
      <vt:lpstr>Chittenden County Town Employee</vt:lpstr>
      <vt:lpstr>Town Electric (C&amp;I and RES)</vt:lpstr>
      <vt:lpstr>2005 Usage and Savings</vt:lpstr>
      <vt:lpstr>2006 Usage and Savings</vt:lpstr>
      <vt:lpstr>2007 Usage and Savings</vt:lpstr>
      <vt:lpstr>2008 Usage and Savings</vt:lpstr>
      <vt:lpstr>2009 Usage and Savings</vt:lpstr>
      <vt:lpstr>'Energy Economic Report Values'!_ftn1</vt:lpstr>
      <vt:lpstr>'Energy Economic Report Values'!_ftnref1</vt:lpstr>
      <vt:lpstr>PACE</vt:lpstr>
    </vt:vector>
  </TitlesOfParts>
  <Company>VEIC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Hollingsworth</dc:creator>
  <cp:lastModifiedBy>Alison Hollingsworth</cp:lastModifiedBy>
  <cp:lastPrinted>2011-09-19T19:17:24Z</cp:lastPrinted>
  <dcterms:created xsi:type="dcterms:W3CDTF">2011-09-15T14:44:24Z</dcterms:created>
  <dcterms:modified xsi:type="dcterms:W3CDTF">2012-07-30T17:57:07Z</dcterms:modified>
</cp:coreProperties>
</file>